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120" yWindow="1965" windowWidth="24795" windowHeight="12345"/>
  </bookViews>
  <sheets>
    <sheet name="keuzesheet" sheetId="2" r:id="rId1"/>
    <sheet name="parameters" sheetId="1" r:id="rId2"/>
  </sheets>
  <definedNames>
    <definedName name="_xlnm.Print_Area" localSheetId="0">keuzesheet!$A$1:$E$53</definedName>
  </definedNames>
  <calcPr calcId="145621"/>
</workbook>
</file>

<file path=xl/calcChain.xml><?xml version="1.0" encoding="utf-8"?>
<calcChain xmlns="http://schemas.openxmlformats.org/spreadsheetml/2006/main">
  <c r="B37" i="2" l="1"/>
  <c r="O11" i="2"/>
  <c r="A37" i="2" s="1"/>
  <c r="L24" i="2"/>
  <c r="K22" i="2"/>
  <c r="K23" i="2"/>
  <c r="K24" i="2"/>
  <c r="L21" i="2"/>
  <c r="K21" i="2"/>
  <c r="C37" i="2"/>
  <c r="I5" i="2"/>
  <c r="B9" i="2" s="1"/>
  <c r="B41" i="2"/>
  <c r="B24" i="2"/>
  <c r="I22" i="2"/>
  <c r="I21" i="2"/>
  <c r="I23" i="2" s="1"/>
  <c r="I27" i="2" s="1"/>
  <c r="G21" i="2" s="1"/>
  <c r="I26" i="2"/>
  <c r="I42" i="2"/>
  <c r="I46" i="2" s="1"/>
  <c r="G40" i="2" s="1"/>
  <c r="F40" i="2" s="1"/>
  <c r="I39" i="2"/>
  <c r="I45" i="2" l="1"/>
  <c r="G41" i="2" s="1"/>
  <c r="B38" i="2" s="1"/>
  <c r="K26" i="2"/>
  <c r="K27" i="2" s="1"/>
  <c r="L26" i="2"/>
  <c r="K25" i="2"/>
  <c r="L25" i="2"/>
  <c r="D27" i="2"/>
  <c r="D45" i="2"/>
  <c r="B23" i="2"/>
  <c r="F24" i="2" s="1"/>
  <c r="I24" i="2"/>
  <c r="I28" i="2" s="1"/>
  <c r="G22" i="2" s="1"/>
  <c r="B22" i="2" s="1"/>
  <c r="I40" i="2"/>
  <c r="X34" i="2"/>
  <c r="B10" i="2"/>
  <c r="U45" i="2"/>
  <c r="U34" i="2" s="1"/>
  <c r="U56" i="2" s="1"/>
  <c r="B45" i="2" l="1"/>
  <c r="I41" i="2"/>
  <c r="I43" i="2"/>
  <c r="I30" i="2"/>
  <c r="G24" i="2" s="1"/>
  <c r="B20" i="2" s="1"/>
  <c r="B27" i="2" s="1"/>
  <c r="B29" i="2"/>
  <c r="F23" i="2"/>
  <c r="F41" i="2"/>
  <c r="I29" i="2"/>
  <c r="G23" i="2" s="1"/>
  <c r="B21" i="2" s="1"/>
  <c r="F22" i="2" s="1"/>
  <c r="I25" i="2"/>
  <c r="R66" i="2"/>
  <c r="I44" i="2" l="1"/>
  <c r="G42" i="2" s="1"/>
  <c r="B39" i="2" s="1"/>
  <c r="G43" i="2"/>
  <c r="B40" i="2" s="1"/>
  <c r="B47" i="2" s="1"/>
  <c r="G30" i="2"/>
  <c r="D29" i="2" s="1"/>
  <c r="E29" i="2"/>
  <c r="B28" i="2"/>
  <c r="F21" i="2"/>
  <c r="S63" i="2"/>
  <c r="F42" i="2" l="1"/>
  <c r="G50" i="2"/>
  <c r="D47" i="2" s="1"/>
  <c r="E47" i="2"/>
  <c r="G29" i="2"/>
  <c r="D28" i="2" s="1"/>
  <c r="E28" i="2"/>
  <c r="B46" i="2"/>
  <c r="B42" i="2"/>
  <c r="F43" i="2"/>
  <c r="N80" i="2"/>
  <c r="N81" i="2" s="1"/>
  <c r="N82" i="2" s="1"/>
  <c r="N83" i="2" s="1"/>
  <c r="N84" i="2" s="1"/>
  <c r="N85" i="2" s="1"/>
  <c r="N86" i="2" s="1"/>
  <c r="N87" i="2" s="1"/>
  <c r="N88" i="2" s="1"/>
  <c r="N89" i="2" s="1"/>
  <c r="N90" i="2" s="1"/>
  <c r="S58" i="2"/>
  <c r="O6" i="2"/>
  <c r="O7" i="2"/>
  <c r="G49" i="2" l="1"/>
  <c r="D46" i="2" s="1"/>
  <c r="E46" i="2"/>
  <c r="O5" i="2"/>
  <c r="O8" i="2" l="1"/>
  <c r="N57" i="2" l="1"/>
  <c r="N61" i="2"/>
  <c r="P22" i="2"/>
  <c r="P21" i="2"/>
  <c r="M44" i="2"/>
  <c r="O13" i="2"/>
  <c r="O15" i="2"/>
  <c r="P58" i="2" s="1"/>
  <c r="O14" i="2"/>
  <c r="P57" i="2" s="1"/>
  <c r="O16" i="2"/>
  <c r="S62" i="2" s="1"/>
  <c r="O12" i="2"/>
  <c r="A38" i="2" s="1"/>
  <c r="P62" i="2" l="1"/>
  <c r="O62" i="2"/>
  <c r="O58" i="2"/>
  <c r="A12" i="2"/>
  <c r="P61" i="2"/>
  <c r="O61" i="2"/>
  <c r="O57" i="2"/>
  <c r="N62" i="2"/>
  <c r="N58" i="2"/>
  <c r="A14" i="2"/>
  <c r="A15" i="2"/>
  <c r="A13" i="2"/>
  <c r="A20" i="2"/>
  <c r="A16" i="2"/>
  <c r="A40" i="2"/>
  <c r="A11" i="2"/>
  <c r="A21" i="2"/>
  <c r="A22" i="2"/>
  <c r="A23" i="2"/>
  <c r="U39" i="2"/>
  <c r="U43" i="2"/>
  <c r="U40" i="2"/>
  <c r="R39" i="2"/>
  <c r="R38" i="2"/>
  <c r="R42" i="2"/>
  <c r="S43" i="2" s="1"/>
  <c r="N63" i="2" l="1"/>
  <c r="A32" i="2"/>
  <c r="U41" i="2"/>
  <c r="M42" i="2" s="1"/>
  <c r="M41" i="2"/>
  <c r="A39" i="2"/>
  <c r="C31" i="1"/>
  <c r="P13" i="2" s="1"/>
  <c r="F58" i="1"/>
  <c r="E60" i="1" s="1"/>
  <c r="T8" i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E62" i="1"/>
  <c r="E61" i="1"/>
  <c r="N21" i="2" l="1"/>
  <c r="V42" i="2"/>
  <c r="N41" i="2"/>
  <c r="N42" i="2"/>
  <c r="F62" i="1"/>
  <c r="M33" i="1"/>
  <c r="M34" i="1" s="1"/>
  <c r="K39" i="1"/>
  <c r="F61" i="1" l="1"/>
  <c r="K26" i="1"/>
  <c r="L25" i="1"/>
  <c r="M26" i="1" s="1"/>
  <c r="M27" i="1" s="1"/>
  <c r="C27" i="1" l="1"/>
  <c r="P12" i="2" s="1"/>
  <c r="E26" i="1" l="1"/>
  <c r="N22" i="2" l="1"/>
  <c r="E35" i="1"/>
  <c r="E36" i="1"/>
  <c r="K4" i="1"/>
  <c r="R4" i="1" s="1"/>
  <c r="N4" i="1"/>
  <c r="U4" i="1" s="1"/>
  <c r="Q4" i="1"/>
  <c r="P4" i="1"/>
  <c r="H4" i="1"/>
  <c r="O4" i="1" s="1"/>
  <c r="O2" i="1"/>
  <c r="G35" i="1"/>
  <c r="G34" i="1"/>
  <c r="C25" i="1"/>
  <c r="P11" i="2" s="1"/>
  <c r="E27" i="1"/>
  <c r="C28" i="1"/>
  <c r="P16" i="2" s="1"/>
  <c r="C5" i="1"/>
  <c r="C6" i="1"/>
  <c r="D28" i="1"/>
  <c r="G25" i="1"/>
  <c r="G26" i="1"/>
  <c r="D25" i="1"/>
  <c r="E37" i="1" l="1"/>
  <c r="N23" i="2"/>
  <c r="G37" i="1"/>
  <c r="E28" i="1"/>
  <c r="D6" i="1"/>
  <c r="O6" i="1" s="1"/>
  <c r="B7" i="1"/>
  <c r="C7" i="1" s="1"/>
  <c r="D5" i="1"/>
  <c r="O5" i="1" s="1"/>
  <c r="E25" i="1"/>
  <c r="G28" i="1"/>
  <c r="G30" i="1" s="1"/>
  <c r="C29" i="1" s="1"/>
  <c r="P14" i="2" s="1"/>
  <c r="F25" i="2" l="1"/>
  <c r="B25" i="2"/>
  <c r="N24" i="2"/>
  <c r="N25" i="2" s="1"/>
  <c r="C34" i="1"/>
  <c r="K27" i="1"/>
  <c r="K28" i="1" s="1"/>
  <c r="K29" i="1" s="1"/>
  <c r="I29" i="1"/>
  <c r="E6" i="1"/>
  <c r="S6" i="1"/>
  <c r="G6" i="1"/>
  <c r="E5" i="1"/>
  <c r="G5" i="1"/>
  <c r="G39" i="1"/>
  <c r="C30" i="1" s="1"/>
  <c r="D30" i="1"/>
  <c r="D7" i="1"/>
  <c r="I6" i="1"/>
  <c r="I5" i="1"/>
  <c r="B8" i="1"/>
  <c r="C8" i="1" s="1"/>
  <c r="D29" i="1"/>
  <c r="P15" i="2" l="1"/>
  <c r="C35" i="1"/>
  <c r="O7" i="1"/>
  <c r="S7" i="1" s="1"/>
  <c r="B32" i="2"/>
  <c r="B9" i="1"/>
  <c r="C9" i="1" s="1"/>
  <c r="E7" i="1"/>
  <c r="G7" i="1"/>
  <c r="K5" i="1"/>
  <c r="K6" i="1"/>
  <c r="E30" i="1"/>
  <c r="Q6" i="1"/>
  <c r="D8" i="1"/>
  <c r="J5" i="1"/>
  <c r="J6" i="1"/>
  <c r="M6" i="1" s="1"/>
  <c r="I7" i="1"/>
  <c r="E29" i="1"/>
  <c r="O8" i="1" l="1"/>
  <c r="S8" i="1" s="1"/>
  <c r="B33" i="2"/>
  <c r="B10" i="1"/>
  <c r="C10" i="1" s="1"/>
  <c r="L6" i="1"/>
  <c r="N6" i="1"/>
  <c r="D9" i="1"/>
  <c r="G9" i="1" s="1"/>
  <c r="M5" i="1"/>
  <c r="L5" i="1"/>
  <c r="U6" i="1"/>
  <c r="E8" i="1"/>
  <c r="G8" i="1"/>
  <c r="R6" i="1"/>
  <c r="N5" i="1"/>
  <c r="K7" i="1"/>
  <c r="Q7" i="1"/>
  <c r="I8" i="1"/>
  <c r="J7" i="1"/>
  <c r="N7" i="1" s="1"/>
  <c r="O9" i="1" l="1"/>
  <c r="S9" i="1" s="1"/>
  <c r="I9" i="1"/>
  <c r="K9" i="1" s="1"/>
  <c r="E9" i="1"/>
  <c r="L7" i="1"/>
  <c r="D10" i="1"/>
  <c r="G10" i="1" s="1"/>
  <c r="B11" i="1"/>
  <c r="C11" i="1" s="1"/>
  <c r="D11" i="1" s="1"/>
  <c r="M7" i="1"/>
  <c r="R7" i="1"/>
  <c r="K8" i="1"/>
  <c r="Q9" i="1"/>
  <c r="U7" i="1"/>
  <c r="J9" i="1"/>
  <c r="Q8" i="1"/>
  <c r="J8" i="1"/>
  <c r="M8" i="1" s="1"/>
  <c r="I10" i="1" l="1"/>
  <c r="O11" i="1"/>
  <c r="S11" i="1" s="1"/>
  <c r="O10" i="1"/>
  <c r="S10" i="1" s="1"/>
  <c r="E10" i="1"/>
  <c r="B12" i="1"/>
  <c r="C12" i="1" s="1"/>
  <c r="D12" i="1" s="1"/>
  <c r="L8" i="1"/>
  <c r="L9" i="1"/>
  <c r="M9" i="1"/>
  <c r="U8" i="1"/>
  <c r="E11" i="1"/>
  <c r="G11" i="1"/>
  <c r="N9" i="1"/>
  <c r="N8" i="1"/>
  <c r="K10" i="1"/>
  <c r="R9" i="1"/>
  <c r="R8" i="1"/>
  <c r="U9" i="1"/>
  <c r="J10" i="1"/>
  <c r="L10" i="1" s="1"/>
  <c r="I11" i="1"/>
  <c r="Q10" i="1"/>
  <c r="O12" i="1" l="1"/>
  <c r="S12" i="1" s="1"/>
  <c r="M10" i="1"/>
  <c r="B13" i="1"/>
  <c r="C13" i="1" s="1"/>
  <c r="D13" i="1" s="1"/>
  <c r="K11" i="1"/>
  <c r="E12" i="1"/>
  <c r="G12" i="1"/>
  <c r="N10" i="1"/>
  <c r="R10" i="1"/>
  <c r="Q11" i="1"/>
  <c r="J11" i="1"/>
  <c r="M11" i="1" s="1"/>
  <c r="U10" i="1"/>
  <c r="Q12" i="1"/>
  <c r="I12" i="1"/>
  <c r="B14" i="1"/>
  <c r="C14" i="1" s="1"/>
  <c r="O13" i="1" l="1"/>
  <c r="S13" i="1" s="1"/>
  <c r="N11" i="1"/>
  <c r="L11" i="1"/>
  <c r="E13" i="1"/>
  <c r="G13" i="1"/>
  <c r="R11" i="1"/>
  <c r="U11" i="1"/>
  <c r="K12" i="1"/>
  <c r="R12" i="1"/>
  <c r="J12" i="1"/>
  <c r="N12" i="1" s="1"/>
  <c r="U12" i="1"/>
  <c r="D14" i="1"/>
  <c r="I13" i="1"/>
  <c r="B15" i="1"/>
  <c r="C15" i="1" s="1"/>
  <c r="O14" i="1" l="1"/>
  <c r="S14" i="1" s="1"/>
  <c r="L12" i="1"/>
  <c r="M12" i="1"/>
  <c r="E14" i="1"/>
  <c r="G14" i="1"/>
  <c r="K13" i="1"/>
  <c r="Q13" i="1"/>
  <c r="D15" i="1"/>
  <c r="I14" i="1"/>
  <c r="J13" i="1"/>
  <c r="N13" i="1" s="1"/>
  <c r="B16" i="1"/>
  <c r="C16" i="1" s="1"/>
  <c r="O15" i="1" l="1"/>
  <c r="S15" i="1" s="1"/>
  <c r="M13" i="1"/>
  <c r="L13" i="1"/>
  <c r="E15" i="1"/>
  <c r="G15" i="1"/>
  <c r="R13" i="1"/>
  <c r="U13" i="1"/>
  <c r="K14" i="1"/>
  <c r="Q14" i="1"/>
  <c r="J14" i="1"/>
  <c r="N14" i="1" s="1"/>
  <c r="I15" i="1"/>
  <c r="D16" i="1"/>
  <c r="B17" i="1"/>
  <c r="C17" i="1" s="1"/>
  <c r="O16" i="1" l="1"/>
  <c r="S16" i="1" s="1"/>
  <c r="M14" i="1"/>
  <c r="L14" i="1"/>
  <c r="K15" i="1"/>
  <c r="U14" i="1"/>
  <c r="E16" i="1"/>
  <c r="G16" i="1"/>
  <c r="R14" i="1"/>
  <c r="Q15" i="1"/>
  <c r="J15" i="1"/>
  <c r="N15" i="1" s="1"/>
  <c r="D17" i="1"/>
  <c r="I16" i="1"/>
  <c r="B18" i="1"/>
  <c r="C18" i="1" s="1"/>
  <c r="O17" i="1" l="1"/>
  <c r="S17" i="1" s="1"/>
  <c r="M15" i="1"/>
  <c r="L15" i="1"/>
  <c r="E17" i="1"/>
  <c r="G17" i="1"/>
  <c r="K16" i="1"/>
  <c r="R15" i="1"/>
  <c r="U15" i="1"/>
  <c r="D18" i="1"/>
  <c r="Q16" i="1"/>
  <c r="U16" i="1" s="1"/>
  <c r="J16" i="1"/>
  <c r="M16" i="1" s="1"/>
  <c r="I17" i="1"/>
  <c r="B19" i="1"/>
  <c r="C19" i="1" s="1"/>
  <c r="O18" i="1" l="1"/>
  <c r="S18" i="1" s="1"/>
  <c r="L16" i="1"/>
  <c r="E18" i="1"/>
  <c r="G18" i="1"/>
  <c r="K17" i="1"/>
  <c r="N16" i="1"/>
  <c r="R16" i="1"/>
  <c r="J17" i="1"/>
  <c r="L17" i="1" s="1"/>
  <c r="D19" i="1"/>
  <c r="Q17" i="1"/>
  <c r="Q18" i="1"/>
  <c r="I18" i="1"/>
  <c r="B20" i="1"/>
  <c r="C20" i="1" s="1"/>
  <c r="O19" i="1" l="1"/>
  <c r="S19" i="1" s="1"/>
  <c r="M17" i="1"/>
  <c r="J18" i="1"/>
  <c r="L18" i="1" s="1"/>
  <c r="N18" i="1"/>
  <c r="E19" i="1"/>
  <c r="G19" i="1"/>
  <c r="N17" i="1"/>
  <c r="R17" i="1"/>
  <c r="R18" i="1"/>
  <c r="K18" i="1"/>
  <c r="U17" i="1"/>
  <c r="U18" i="1"/>
  <c r="Q19" i="1"/>
  <c r="I19" i="1"/>
  <c r="D20" i="1"/>
  <c r="B21" i="1"/>
  <c r="C21" i="1" s="1"/>
  <c r="O20" i="1" l="1"/>
  <c r="S20" i="1" s="1"/>
  <c r="M18" i="1"/>
  <c r="E20" i="1"/>
  <c r="G20" i="1"/>
  <c r="R19" i="1"/>
  <c r="K19" i="1"/>
  <c r="I20" i="1"/>
  <c r="J19" i="1"/>
  <c r="L19" i="1" s="1"/>
  <c r="D21" i="1"/>
  <c r="U19" i="1"/>
  <c r="O21" i="1" l="1"/>
  <c r="S21" i="1" s="1"/>
  <c r="M19" i="1"/>
  <c r="E21" i="1"/>
  <c r="G21" i="1"/>
  <c r="N19" i="1"/>
  <c r="K20" i="1"/>
  <c r="Q20" i="1"/>
  <c r="J20" i="1"/>
  <c r="N20" i="1" s="1"/>
  <c r="I21" i="1"/>
  <c r="L20" i="1" l="1"/>
  <c r="M20" i="1"/>
  <c r="U20" i="1"/>
  <c r="K21" i="1"/>
  <c r="R20" i="1"/>
  <c r="J21" i="1"/>
  <c r="L21" i="1" s="1"/>
  <c r="Q21" i="1"/>
  <c r="M21" i="1" l="1"/>
  <c r="N21" i="1"/>
  <c r="R21" i="1"/>
  <c r="U21" i="1"/>
  <c r="S5" i="1"/>
  <c r="Q5" i="1"/>
  <c r="U5" i="1" s="1"/>
  <c r="R5" i="1" l="1"/>
  <c r="R43" i="2"/>
  <c r="S41" i="2" s="1"/>
  <c r="R40" i="2" l="1"/>
  <c r="S44" i="2" s="1"/>
  <c r="M43" i="2" s="1"/>
  <c r="M40" i="2"/>
  <c r="F45" i="2" s="1"/>
  <c r="V43" i="2" l="1"/>
  <c r="A50" i="2"/>
  <c r="C51" i="2"/>
  <c r="C50" i="2"/>
  <c r="A52" i="2"/>
  <c r="A42" i="2"/>
  <c r="N43" i="2"/>
  <c r="W23" i="2" l="1"/>
  <c r="W25" i="2"/>
  <c r="N66" i="2"/>
  <c r="N67" i="2" s="1"/>
  <c r="O67" i="2" s="1"/>
  <c r="Q67" i="2" s="1"/>
  <c r="N40" i="2"/>
  <c r="N44" i="2" s="1"/>
  <c r="U44" i="2"/>
  <c r="X23" i="2" l="1"/>
  <c r="X24" i="2" s="1"/>
  <c r="X25" i="2" s="1"/>
  <c r="X26" i="2" s="1"/>
  <c r="R67" i="2"/>
  <c r="R68" i="2" s="1"/>
  <c r="Q68" i="2"/>
  <c r="X38" i="2" l="1"/>
  <c r="M45" i="2" s="1"/>
  <c r="X42" i="2"/>
  <c r="W41" i="2"/>
  <c r="X39" i="2" l="1"/>
  <c r="X43" i="2"/>
  <c r="X44" i="2" s="1"/>
  <c r="X45" i="2" s="1"/>
  <c r="U57" i="2" l="1"/>
  <c r="F44" i="2"/>
  <c r="B50" i="2" s="1"/>
  <c r="B51" i="2" s="1"/>
</calcChain>
</file>

<file path=xl/sharedStrings.xml><?xml version="1.0" encoding="utf-8"?>
<sst xmlns="http://schemas.openxmlformats.org/spreadsheetml/2006/main" count="173" uniqueCount="101">
  <si>
    <t>kg.</t>
  </si>
  <si>
    <t>charge</t>
  </si>
  <si>
    <t>Vitasel</t>
  </si>
  <si>
    <t>colorozo 0.6 (gram)</t>
  </si>
  <si>
    <t>One Grain (gram)</t>
  </si>
  <si>
    <t>Colorozo 3.0 (gram)</t>
  </si>
  <si>
    <t>colorozo 0.6 (gram/kg)</t>
  </si>
  <si>
    <t>colo 3.0</t>
  </si>
  <si>
    <t>onegrain</t>
  </si>
  <si>
    <t>06-5151 0648</t>
  </si>
  <si>
    <t>inkoop</t>
  </si>
  <si>
    <t>inkoop/kg</t>
  </si>
  <si>
    <t>colo 0.6</t>
  </si>
  <si>
    <t>emmer</t>
  </si>
  <si>
    <t>ompakken</t>
  </si>
  <si>
    <t>5kg. Emmer</t>
  </si>
  <si>
    <t>kostprijs</t>
  </si>
  <si>
    <t>marge</t>
  </si>
  <si>
    <t>verkoop per verpakking</t>
  </si>
  <si>
    <t>verp.materiaal</t>
  </si>
  <si>
    <t>deksel</t>
  </si>
  <si>
    <t>OVP /kg</t>
  </si>
  <si>
    <t>inkoop p/kg</t>
  </si>
  <si>
    <t>zout: gram/ charge</t>
  </si>
  <si>
    <t>gram per charge</t>
  </si>
  <si>
    <t>natrium-reductie-%</t>
  </si>
  <si>
    <t>colo 1.2</t>
  </si>
  <si>
    <t>alleen Colorozo 0.6</t>
  </si>
  <si>
    <t>combinatie OneGrain en Colorozo 3.0</t>
  </si>
  <si>
    <t>0%</t>
  </si>
  <si>
    <t>effectief zoutgehalte (gr/kg eindproduct)</t>
  </si>
  <si>
    <t>nitriet-gehalte %</t>
  </si>
  <si>
    <t>charge KG eindproduct</t>
  </si>
  <si>
    <t>keukenzout</t>
  </si>
  <si>
    <t>kleurzout</t>
  </si>
  <si>
    <t>kosten zout per 100 kg. massa</t>
  </si>
  <si>
    <t>OneGrain (bevat 60% natrium-zout)</t>
  </si>
  <si>
    <t>productnaam</t>
  </si>
  <si>
    <t>chargegrootte</t>
  </si>
  <si>
    <t>gram</t>
  </si>
  <si>
    <t>gram/per kilo kleurzout 0.6</t>
  </si>
  <si>
    <t>gram/per kilo keukenzout</t>
  </si>
  <si>
    <t>per</t>
  </si>
  <si>
    <t>bedrag</t>
  </si>
  <si>
    <t>beoogde natriumreductie</t>
  </si>
  <si>
    <t>zoutkosten'traditioneel</t>
  </si>
  <si>
    <t>kostprijs product</t>
  </si>
  <si>
    <t>zoutkosten met OneGrain 100</t>
  </si>
  <si>
    <t>Colorozo 0.6</t>
  </si>
  <si>
    <t>Colorozo 3.0</t>
  </si>
  <si>
    <t>huidige toevoeging PER KILO</t>
  </si>
  <si>
    <t>OF:</t>
  </si>
  <si>
    <t>Kolosel 600</t>
  </si>
  <si>
    <t>colo 3.0 + 0.6</t>
  </si>
  <si>
    <t>totaal</t>
  </si>
  <si>
    <t>doel gr.nitriet (6%)</t>
  </si>
  <si>
    <t>totaal zout</t>
  </si>
  <si>
    <t>reductie</t>
  </si>
  <si>
    <t>totaal nitriet</t>
  </si>
  <si>
    <t>kosten</t>
  </si>
  <si>
    <t>kg. eindproduct</t>
  </si>
  <si>
    <t>Combinatie Vitasel en/of Kolosel 600</t>
  </si>
  <si>
    <t>Combinatie Colorozo 0.6, Colorozo 3.0 en ander natriumhoudend zout:</t>
  </si>
  <si>
    <t>U kunt alleen in de blauwe cellen wijzigen.</t>
  </si>
  <si>
    <t>per kg. (€ 0,30)</t>
  </si>
  <si>
    <t>per kg. (€ 0,34)</t>
  </si>
  <si>
    <t>per kg. (€ 8,41)</t>
  </si>
  <si>
    <t>per kg. (€ 6,94)</t>
  </si>
  <si>
    <t>per kg. (€ 3,78)</t>
  </si>
  <si>
    <t>namen:</t>
  </si>
  <si>
    <t>Joop Zwager (Akzo)</t>
  </si>
  <si>
    <t>Colorozo 1.2</t>
  </si>
  <si>
    <t>ander kaliumhoudend zout*</t>
  </si>
  <si>
    <t>=ALS(A3="optellen";A1+A2;ALS(A3="aftrekken";A1-A2;"Erwordtgeenberekeninguitgevoerd"))</t>
  </si>
  <si>
    <t>=als(EN(a1=b1;a2=b2;a3=b3);"aan alle drie de voorwaarden is voldaan";"aan minstens een van de voorwaarden is niet voldaan")</t>
  </si>
  <si>
    <t>met "ander kaliumhoudend zout" is deze reductie niet mogelijk</t>
  </si>
  <si>
    <t>* Dit zout bevat 60% natrium!</t>
  </si>
  <si>
    <t>keuk</t>
  </si>
  <si>
    <t>onegr</t>
  </si>
  <si>
    <t>natrium</t>
  </si>
  <si>
    <t>nitriet</t>
  </si>
  <si>
    <t>beperking</t>
  </si>
  <si>
    <t>oneGrain</t>
  </si>
  <si>
    <t>colorozo 30</t>
  </si>
  <si>
    <t>colorozo 6</t>
  </si>
  <si>
    <t xml:space="preserve">Kolosel </t>
  </si>
  <si>
    <t>totaal kleurzout</t>
  </si>
  <si>
    <t>totaal  keukenzout</t>
  </si>
  <si>
    <t>beperking kleurzout</t>
  </si>
  <si>
    <t>beperking keukenzout</t>
  </si>
  <si>
    <t>totaal natrium</t>
  </si>
  <si>
    <t>totaal nitriet op deze charge:</t>
  </si>
  <si>
    <t>nitriet:</t>
  </si>
  <si>
    <t xml:space="preserve">totaal nitriet </t>
  </si>
  <si>
    <t>totaal natrium-zout</t>
  </si>
  <si>
    <t>totaal kalium-zout</t>
  </si>
  <si>
    <t>resultatencontrole op deze charge:</t>
  </si>
  <si>
    <t>gram                                                                      gram                                                                           gram                                                                          gram</t>
  </si>
  <si>
    <t>kosten van het ingrediënt "zout":</t>
  </si>
  <si>
    <t>% (advies: max. 40-45%)</t>
  </si>
  <si>
    <t>Potasel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</si>
</sst>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%"/>
    <numFmt numFmtId="167" formatCode="0.000%"/>
    <numFmt numFmtId="168" formatCode="_ * #,##0.0000_ ;_ * \-#,##0.0000_ ;_ * &quot;-&quot;??_ ;_ @_ "/>
    <numFmt numFmtId="169" formatCode="_ &quot;€&quot;\ * #,##0.00000_ ;_ &quot;€&quot;\ * \-#,##0.00000_ ;_ &quot;€&quot;\ * &quot;-&quot;??_ ;_ @_ "/>
    <numFmt numFmtId="170" formatCode="0.0000%"/>
    <numFmt numFmtId="171" formatCode="_ * #,##0.000000_ ;_ * \-#,##0.000000_ ;_ * &quot;-&quot;??_ ;_ @_ "/>
    <numFmt numFmtId="172" formatCode="_ &quot;€&quot;\ * #,##0.000_ ;_ &quot;€&quot;\ * \-#,##0.000_ ;_ &quot;€&quot;\ * &quot;-&quot;??_ ;_ @_ "/>
    <numFmt numFmtId="173" formatCode="#,##0.00_ ;\-#,##0.00\ "/>
  </numFmts>
  <fonts count="12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C00000"/>
      <name val="Verdana"/>
      <family val="2"/>
    </font>
    <font>
      <sz val="10"/>
      <color theme="2" tint="-9.9978637043366805E-2"/>
      <name val="Verdana"/>
      <family val="2"/>
    </font>
    <font>
      <b/>
      <sz val="10"/>
      <color theme="0"/>
      <name val="Verdana"/>
      <family val="2"/>
    </font>
    <font>
      <sz val="8"/>
      <color theme="1"/>
      <name val="Verdana"/>
      <family val="2"/>
    </font>
    <font>
      <b/>
      <sz val="10"/>
      <color rgb="FFFF0000"/>
      <name val="Verdana"/>
      <family val="2"/>
    </font>
    <font>
      <b/>
      <sz val="12"/>
      <color rgb="FFC00000"/>
      <name val="Verdana"/>
      <family val="2"/>
    </font>
    <font>
      <sz val="10"/>
      <color rgb="FFC00000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65" fontId="0" fillId="0" borderId="0" xfId="1" applyNumberFormat="1" applyFont="1" applyBorder="1" applyAlignment="1" applyProtection="1">
      <alignment vertical="center"/>
      <protection hidden="1"/>
    </xf>
    <xf numFmtId="44" fontId="0" fillId="0" borderId="0" xfId="0" applyNumberFormat="1" applyFont="1" applyAlignment="1" applyProtection="1">
      <alignment vertical="center"/>
      <protection hidden="1"/>
    </xf>
    <xf numFmtId="165" fontId="0" fillId="0" borderId="0" xfId="1" applyNumberFormat="1" applyFont="1" applyAlignment="1" applyProtection="1">
      <alignment vertical="center"/>
      <protection hidden="1"/>
    </xf>
    <xf numFmtId="44" fontId="0" fillId="0" borderId="2" xfId="0" applyNumberFormat="1" applyFont="1" applyBorder="1" applyAlignment="1" applyProtection="1">
      <alignment vertical="center"/>
      <protection hidden="1"/>
    </xf>
    <xf numFmtId="0" fontId="0" fillId="2" borderId="0" xfId="0" applyNumberFormat="1" applyFont="1" applyFill="1" applyAlignment="1" applyProtection="1">
      <alignment vertical="center"/>
      <protection hidden="1"/>
    </xf>
    <xf numFmtId="44" fontId="0" fillId="0" borderId="0" xfId="2" applyFont="1" applyAlignment="1" applyProtection="1">
      <alignment vertical="center"/>
      <protection hidden="1"/>
    </xf>
    <xf numFmtId="9" fontId="0" fillId="0" borderId="0" xfId="3" applyFont="1" applyAlignment="1" applyProtection="1">
      <alignment vertical="center"/>
      <protection hidden="1"/>
    </xf>
    <xf numFmtId="43" fontId="0" fillId="0" borderId="0" xfId="1" applyFont="1" applyAlignment="1" applyProtection="1">
      <alignment vertical="center"/>
      <protection hidden="1"/>
    </xf>
    <xf numFmtId="44" fontId="0" fillId="0" borderId="2" xfId="2" applyFont="1" applyBorder="1" applyAlignment="1" applyProtection="1">
      <alignment vertical="center"/>
      <protection hidden="1"/>
    </xf>
    <xf numFmtId="165" fontId="0" fillId="0" borderId="0" xfId="0" applyNumberFormat="1" applyFont="1" applyBorder="1" applyAlignment="1" applyProtection="1">
      <alignment vertical="center"/>
      <protection hidden="1"/>
    </xf>
    <xf numFmtId="44" fontId="3" fillId="5" borderId="0" xfId="2" applyFont="1" applyFill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0" fillId="0" borderId="0" xfId="0" applyNumberFormat="1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44" fontId="0" fillId="0" borderId="0" xfId="0" applyNumberFormat="1" applyFont="1" applyBorder="1" applyAlignment="1" applyProtection="1">
      <alignment vertical="center"/>
      <protection hidden="1"/>
    </xf>
    <xf numFmtId="44" fontId="0" fillId="0" borderId="0" xfId="2" applyFont="1" applyBorder="1" applyAlignment="1" applyProtection="1">
      <alignment vertical="center"/>
      <protection hidden="1"/>
    </xf>
    <xf numFmtId="165" fontId="0" fillId="0" borderId="0" xfId="0" applyNumberFormat="1" applyFont="1" applyAlignment="1" applyProtection="1">
      <alignment vertical="center"/>
      <protection hidden="1"/>
    </xf>
    <xf numFmtId="43" fontId="0" fillId="0" borderId="0" xfId="1" applyFont="1" applyAlignment="1" applyProtection="1">
      <alignment horizontal="left" vertical="center"/>
      <protection hidden="1"/>
    </xf>
    <xf numFmtId="43" fontId="0" fillId="0" borderId="2" xfId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quotePrefix="1" applyAlignment="1" applyProtection="1">
      <alignment vertical="center"/>
      <protection hidden="1"/>
    </xf>
    <xf numFmtId="44" fontId="0" fillId="6" borderId="0" xfId="0" applyNumberFormat="1" applyFill="1" applyAlignment="1" applyProtection="1">
      <alignment vertical="center"/>
      <protection hidden="1"/>
    </xf>
    <xf numFmtId="172" fontId="0" fillId="6" borderId="0" xfId="0" applyNumberFormat="1" applyFill="1" applyAlignment="1" applyProtection="1">
      <alignment vertical="center"/>
      <protection hidden="1"/>
    </xf>
    <xf numFmtId="44" fontId="0" fillId="4" borderId="0" xfId="0" applyNumberFormat="1" applyFill="1" applyAlignment="1" applyProtection="1">
      <alignment vertical="center"/>
      <protection hidden="1"/>
    </xf>
    <xf numFmtId="0" fontId="0" fillId="4" borderId="0" xfId="0" applyFont="1" applyFill="1" applyAlignment="1" applyProtection="1">
      <alignment horizontal="left" vertical="center"/>
      <protection hidden="1"/>
    </xf>
    <xf numFmtId="0" fontId="0" fillId="4" borderId="0" xfId="0" applyFill="1" applyAlignment="1" applyProtection="1">
      <alignment vertical="center"/>
      <protection hidden="1"/>
    </xf>
    <xf numFmtId="172" fontId="0" fillId="4" borderId="0" xfId="0" applyNumberForma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65" fontId="0" fillId="0" borderId="2" xfId="0" applyNumberFormat="1" applyFont="1" applyFill="1" applyBorder="1" applyAlignment="1" applyProtection="1">
      <alignment vertical="center"/>
      <protection hidden="1"/>
    </xf>
    <xf numFmtId="43" fontId="0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165" fontId="0" fillId="0" borderId="0" xfId="1" applyNumberFormat="1" applyFont="1" applyAlignment="1" applyProtection="1">
      <alignment horizontal="right" vertical="center"/>
      <protection hidden="1"/>
    </xf>
    <xf numFmtId="165" fontId="0" fillId="0" borderId="2" xfId="1" applyNumberFormat="1" applyFont="1" applyBorder="1" applyAlignment="1" applyProtection="1">
      <alignment horizontal="right"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5" fontId="0" fillId="8" borderId="0" xfId="0" applyNumberFormat="1" applyFont="1" applyFill="1" applyAlignment="1" applyProtection="1">
      <alignment vertical="center"/>
      <protection hidden="1"/>
    </xf>
    <xf numFmtId="165" fontId="0" fillId="8" borderId="0" xfId="0" applyNumberFormat="1" applyFont="1" applyFill="1" applyAlignment="1" applyProtection="1">
      <alignment vertical="center" wrapText="1"/>
      <protection hidden="1"/>
    </xf>
    <xf numFmtId="165" fontId="0" fillId="8" borderId="0" xfId="0" applyNumberFormat="1" applyFill="1" applyAlignment="1" applyProtection="1">
      <alignment vertical="center"/>
      <protection hidden="1"/>
    </xf>
    <xf numFmtId="0" fontId="0" fillId="8" borderId="0" xfId="0" applyFill="1" applyAlignment="1" applyProtection="1">
      <alignment vertical="center"/>
      <protection hidden="1"/>
    </xf>
    <xf numFmtId="43" fontId="0" fillId="8" borderId="0" xfId="0" applyNumberFormat="1" applyFont="1" applyFill="1" applyAlignment="1" applyProtection="1">
      <alignment vertical="center"/>
      <protection hidden="1"/>
    </xf>
    <xf numFmtId="43" fontId="0" fillId="8" borderId="0" xfId="1" applyFont="1" applyFill="1" applyAlignment="1" applyProtection="1">
      <alignment vertical="center"/>
      <protection hidden="1"/>
    </xf>
    <xf numFmtId="165" fontId="0" fillId="8" borderId="0" xfId="1" applyNumberFormat="1" applyFont="1" applyFill="1" applyAlignment="1" applyProtection="1">
      <alignment vertical="center"/>
      <protection hidden="1"/>
    </xf>
    <xf numFmtId="43" fontId="0" fillId="8" borderId="0" xfId="0" applyNumberFormat="1" applyFill="1" applyAlignment="1" applyProtection="1">
      <alignment vertical="center"/>
      <protection hidden="1"/>
    </xf>
    <xf numFmtId="0" fontId="0" fillId="8" borderId="0" xfId="0" applyFont="1" applyFill="1" applyAlignment="1" applyProtection="1">
      <alignment vertical="center"/>
      <protection hidden="1"/>
    </xf>
    <xf numFmtId="9" fontId="0" fillId="8" borderId="0" xfId="3" applyFont="1" applyFill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73" fontId="2" fillId="9" borderId="0" xfId="1" applyNumberFormat="1" applyFont="1" applyFill="1" applyAlignment="1" applyProtection="1">
      <alignment horizontal="right" vertical="center"/>
      <protection hidden="1"/>
    </xf>
    <xf numFmtId="43" fontId="0" fillId="0" borderId="0" xfId="0" applyNumberFormat="1" applyAlignment="1" applyProtection="1">
      <alignment vertical="center"/>
      <protection hidden="1"/>
    </xf>
    <xf numFmtId="173" fontId="9" fillId="0" borderId="0" xfId="1" applyNumberFormat="1" applyFont="1" applyFill="1" applyBorder="1" applyAlignment="1" applyProtection="1">
      <alignment horizontal="right" vertical="center"/>
      <protection hidden="1"/>
    </xf>
    <xf numFmtId="173" fontId="1" fillId="0" borderId="0" xfId="1" applyNumberFormat="1" applyFont="1" applyFill="1" applyAlignment="1" applyProtection="1">
      <alignment horizontal="right" vertical="center"/>
      <protection hidden="1"/>
    </xf>
    <xf numFmtId="173" fontId="4" fillId="0" borderId="0" xfId="1" applyNumberFormat="1" applyFont="1" applyFill="1" applyAlignment="1" applyProtection="1">
      <alignment horizontal="right" vertical="center"/>
      <protection hidden="1"/>
    </xf>
    <xf numFmtId="173" fontId="2" fillId="0" borderId="0" xfId="1" applyNumberFormat="1" applyFont="1" applyFill="1" applyAlignment="1" applyProtection="1">
      <alignment horizontal="right" vertical="center"/>
      <protection hidden="1"/>
    </xf>
    <xf numFmtId="173" fontId="1" fillId="0" borderId="0" xfId="1" applyNumberFormat="1" applyFont="1" applyFill="1" applyAlignment="1" applyProtection="1">
      <alignment horizontal="right" vertical="center" shrinkToFit="1"/>
      <protection hidden="1"/>
    </xf>
    <xf numFmtId="173" fontId="0" fillId="0" borderId="0" xfId="1" applyNumberFormat="1" applyFont="1" applyFill="1" applyAlignment="1" applyProtection="1">
      <alignment horizontal="right" vertical="center"/>
      <protection hidden="1"/>
    </xf>
    <xf numFmtId="0" fontId="0" fillId="0" borderId="2" xfId="0" applyFont="1" applyBorder="1" applyAlignment="1" applyProtection="1">
      <alignment vertical="center"/>
      <protection hidden="1"/>
    </xf>
    <xf numFmtId="164" fontId="0" fillId="0" borderId="0" xfId="1" applyNumberFormat="1" applyFont="1" applyAlignment="1" applyProtection="1">
      <alignment vertical="center"/>
      <protection hidden="1"/>
    </xf>
    <xf numFmtId="173" fontId="0" fillId="4" borderId="0" xfId="1" applyNumberFormat="1" applyFont="1" applyFill="1" applyAlignment="1" applyProtection="1">
      <alignment horizontal="right" vertical="center"/>
      <protection hidden="1"/>
    </xf>
    <xf numFmtId="165" fontId="1" fillId="4" borderId="0" xfId="1" applyNumberFormat="1" applyFont="1" applyFill="1" applyAlignment="1" applyProtection="1">
      <alignment horizontal="right" vertical="center"/>
      <protection hidden="1"/>
    </xf>
    <xf numFmtId="173" fontId="0" fillId="4" borderId="2" xfId="1" applyNumberFormat="1" applyFont="1" applyFill="1" applyBorder="1" applyAlignment="1" applyProtection="1">
      <alignment horizontal="right" vertical="center"/>
      <protection hidden="1"/>
    </xf>
    <xf numFmtId="165" fontId="1" fillId="4" borderId="2" xfId="1" applyNumberFormat="1" applyFont="1" applyFill="1" applyBorder="1" applyAlignment="1" applyProtection="1">
      <alignment horizontal="right" vertical="center"/>
      <protection hidden="1"/>
    </xf>
    <xf numFmtId="173" fontId="0" fillId="6" borderId="0" xfId="1" applyNumberFormat="1" applyFont="1" applyFill="1" applyAlignment="1" applyProtection="1">
      <alignment horizontal="right" vertical="center"/>
      <protection hidden="1"/>
    </xf>
    <xf numFmtId="165" fontId="1" fillId="6" borderId="0" xfId="1" applyNumberFormat="1" applyFont="1" applyFill="1" applyAlignment="1" applyProtection="1">
      <alignment horizontal="right" vertical="center"/>
      <protection hidden="1"/>
    </xf>
    <xf numFmtId="168" fontId="1" fillId="6" borderId="0" xfId="1" applyNumberFormat="1" applyFont="1" applyFill="1" applyAlignment="1" applyProtection="1">
      <alignment horizontal="right" vertical="center"/>
      <protection hidden="1"/>
    </xf>
    <xf numFmtId="168" fontId="1" fillId="4" borderId="0" xfId="1" applyNumberFormat="1" applyFont="1" applyFill="1" applyAlignment="1" applyProtection="1">
      <alignment horizontal="right" vertical="center"/>
      <protection hidden="1"/>
    </xf>
    <xf numFmtId="43" fontId="1" fillId="6" borderId="0" xfId="1" applyNumberFormat="1" applyFont="1" applyFill="1" applyAlignment="1" applyProtection="1">
      <alignment horizontal="right" vertical="center"/>
      <protection hidden="1"/>
    </xf>
    <xf numFmtId="9" fontId="0" fillId="0" borderId="0" xfId="3" applyFont="1" applyAlignment="1" applyProtection="1">
      <alignment horizontal="left" vertical="center"/>
      <protection hidden="1"/>
    </xf>
    <xf numFmtId="173" fontId="10" fillId="0" borderId="0" xfId="0" applyNumberFormat="1" applyFont="1" applyFill="1" applyAlignment="1" applyProtection="1">
      <alignment horizontal="right" vertical="center"/>
      <protection hidden="1"/>
    </xf>
    <xf numFmtId="0" fontId="0" fillId="3" borderId="0" xfId="0" applyFont="1" applyFill="1" applyAlignment="1" applyProtection="1">
      <alignment vertical="center"/>
      <protection hidden="1"/>
    </xf>
    <xf numFmtId="165" fontId="0" fillId="3" borderId="0" xfId="1" applyNumberFormat="1" applyFont="1" applyFill="1" applyBorder="1" applyAlignment="1" applyProtection="1">
      <alignment vertical="center"/>
      <protection hidden="1"/>
    </xf>
    <xf numFmtId="165" fontId="0" fillId="3" borderId="2" xfId="1" applyNumberFormat="1" applyFont="1" applyFill="1" applyBorder="1" applyAlignment="1" applyProtection="1">
      <alignment vertical="center"/>
      <protection hidden="1"/>
    </xf>
    <xf numFmtId="165" fontId="0" fillId="3" borderId="0" xfId="1" applyNumberFormat="1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43" fontId="0" fillId="3" borderId="0" xfId="1" applyFont="1" applyFill="1" applyAlignment="1" applyProtection="1">
      <alignment vertical="center"/>
      <protection hidden="1"/>
    </xf>
    <xf numFmtId="9" fontId="0" fillId="3" borderId="0" xfId="3" applyFont="1" applyFill="1" applyAlignment="1" applyProtection="1">
      <alignment horizontal="left" vertical="center"/>
      <protection hidden="1"/>
    </xf>
    <xf numFmtId="0" fontId="0" fillId="3" borderId="0" xfId="0" applyFont="1" applyFill="1" applyAlignment="1" applyProtection="1">
      <alignment horizontal="left" vertical="center"/>
      <protection hidden="1"/>
    </xf>
    <xf numFmtId="0" fontId="0" fillId="10" borderId="0" xfId="0" applyFont="1" applyFill="1" applyAlignment="1" applyProtection="1">
      <alignment vertical="center"/>
      <protection hidden="1"/>
    </xf>
    <xf numFmtId="165" fontId="0" fillId="10" borderId="0" xfId="1" applyNumberFormat="1" applyFont="1" applyFill="1" applyAlignment="1" applyProtection="1">
      <alignment vertical="center"/>
      <protection hidden="1"/>
    </xf>
    <xf numFmtId="165" fontId="0" fillId="10" borderId="2" xfId="1" applyNumberFormat="1" applyFont="1" applyFill="1" applyBorder="1" applyAlignment="1" applyProtection="1">
      <alignment vertical="center"/>
      <protection hidden="1"/>
    </xf>
    <xf numFmtId="0" fontId="0" fillId="10" borderId="0" xfId="0" applyFont="1" applyFill="1" applyAlignment="1" applyProtection="1">
      <alignment vertical="center" wrapText="1"/>
      <protection hidden="1"/>
    </xf>
    <xf numFmtId="0" fontId="0" fillId="10" borderId="0" xfId="0" applyFill="1" applyAlignment="1" applyProtection="1">
      <alignment horizontal="left" vertical="center"/>
      <protection hidden="1"/>
    </xf>
    <xf numFmtId="43" fontId="0" fillId="10" borderId="0" xfId="1" applyFont="1" applyFill="1" applyAlignment="1" applyProtection="1">
      <alignment vertical="center"/>
      <protection hidden="1"/>
    </xf>
    <xf numFmtId="0" fontId="0" fillId="10" borderId="0" xfId="0" applyFont="1" applyFill="1" applyAlignment="1" applyProtection="1">
      <alignment horizontal="left" vertical="center"/>
      <protection hidden="1"/>
    </xf>
    <xf numFmtId="9" fontId="0" fillId="10" borderId="0" xfId="3" applyFont="1" applyFill="1" applyAlignment="1" applyProtection="1">
      <alignment horizontal="left" vertical="center"/>
      <protection hidden="1"/>
    </xf>
    <xf numFmtId="0" fontId="0" fillId="11" borderId="2" xfId="0" applyFont="1" applyFill="1" applyBorder="1" applyAlignment="1" applyProtection="1">
      <alignment vertical="center"/>
      <protection hidden="1"/>
    </xf>
    <xf numFmtId="165" fontId="0" fillId="11" borderId="2" xfId="1" applyNumberFormat="1" applyFont="1" applyFill="1" applyBorder="1" applyAlignment="1" applyProtection="1">
      <alignment vertical="center"/>
      <protection hidden="1"/>
    </xf>
    <xf numFmtId="0" fontId="0" fillId="11" borderId="0" xfId="0" applyFont="1" applyFill="1" applyAlignment="1" applyProtection="1">
      <alignment vertical="center"/>
      <protection hidden="1"/>
    </xf>
    <xf numFmtId="0" fontId="2" fillId="11" borderId="0" xfId="0" applyFont="1" applyFill="1" applyAlignment="1" applyProtection="1">
      <alignment vertical="center"/>
      <protection hidden="1"/>
    </xf>
    <xf numFmtId="0" fontId="0" fillId="11" borderId="0" xfId="0" applyFill="1" applyAlignment="1" applyProtection="1">
      <alignment vertical="center"/>
      <protection hidden="1"/>
    </xf>
    <xf numFmtId="0" fontId="0" fillId="11" borderId="0" xfId="0" applyFill="1" applyAlignment="1" applyProtection="1">
      <alignment horizontal="left" vertical="center"/>
      <protection hidden="1"/>
    </xf>
    <xf numFmtId="0" fontId="2" fillId="11" borderId="2" xfId="0" applyFont="1" applyFill="1" applyBorder="1" applyAlignment="1" applyProtection="1">
      <alignment vertical="center"/>
      <protection hidden="1"/>
    </xf>
    <xf numFmtId="0" fontId="0" fillId="11" borderId="0" xfId="0" applyFill="1" applyAlignment="1" applyProtection="1">
      <alignment horizontal="right" vertical="center"/>
      <protection hidden="1"/>
    </xf>
    <xf numFmtId="165" fontId="0" fillId="0" borderId="0" xfId="1" applyNumberFormat="1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43" fontId="0" fillId="0" borderId="0" xfId="1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0" fillId="12" borderId="2" xfId="0" applyFont="1" applyFill="1" applyBorder="1" applyAlignment="1" applyProtection="1">
      <alignment vertical="center"/>
      <protection hidden="1"/>
    </xf>
    <xf numFmtId="43" fontId="0" fillId="12" borderId="2" xfId="1" applyFont="1" applyFill="1" applyBorder="1" applyAlignment="1" applyProtection="1">
      <alignment vertical="center"/>
      <protection hidden="1"/>
    </xf>
    <xf numFmtId="0" fontId="0" fillId="12" borderId="0" xfId="0" applyFill="1" applyAlignment="1" applyProtection="1">
      <alignment horizontal="left" vertical="center"/>
      <protection hidden="1"/>
    </xf>
    <xf numFmtId="0" fontId="2" fillId="12" borderId="0" xfId="0" applyFont="1" applyFill="1" applyAlignment="1" applyProtection="1">
      <alignment vertical="center"/>
      <protection hidden="1"/>
    </xf>
    <xf numFmtId="0" fontId="0" fillId="12" borderId="0" xfId="0" applyFill="1" applyAlignment="1" applyProtection="1">
      <alignment horizontal="right" vertical="center"/>
      <protection hidden="1"/>
    </xf>
    <xf numFmtId="0" fontId="0" fillId="12" borderId="0" xfId="0" applyFill="1" applyAlignment="1" applyProtection="1">
      <alignment vertical="center"/>
      <protection hidden="1"/>
    </xf>
    <xf numFmtId="0" fontId="2" fillId="12" borderId="2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left" vertical="center"/>
      <protection hidden="1"/>
    </xf>
    <xf numFmtId="0" fontId="3" fillId="5" borderId="3" xfId="0" applyFont="1" applyFill="1" applyBorder="1" applyAlignment="1" applyProtection="1">
      <alignment horizontal="left" vertical="center"/>
      <protection locked="0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3" fillId="7" borderId="6" xfId="0" applyFont="1" applyFill="1" applyBorder="1" applyAlignment="1" applyProtection="1">
      <alignment horizontal="left" vertical="center" textRotation="90" wrapText="1"/>
      <protection hidden="1"/>
    </xf>
    <xf numFmtId="0" fontId="3" fillId="7" borderId="7" xfId="0" applyFont="1" applyFill="1" applyBorder="1" applyAlignment="1" applyProtection="1">
      <alignment horizontal="left" vertical="center" textRotation="90" wrapText="1"/>
      <protection hidden="1"/>
    </xf>
    <xf numFmtId="0" fontId="3" fillId="7" borderId="8" xfId="0" applyFont="1" applyFill="1" applyBorder="1" applyAlignment="1" applyProtection="1">
      <alignment horizontal="left" vertical="center" textRotation="90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3" borderId="0" xfId="0" applyFont="1" applyFill="1" applyAlignment="1" applyProtection="1">
      <alignment horizontal="left" vertical="center"/>
      <protection hidden="1"/>
    </xf>
    <xf numFmtId="0" fontId="0" fillId="6" borderId="0" xfId="0" applyFill="1" applyAlignment="1" applyProtection="1">
      <alignment horizontal="left" vertical="center" wrapText="1"/>
      <protection hidden="1"/>
    </xf>
    <xf numFmtId="0" fontId="2" fillId="11" borderId="0" xfId="0" applyFont="1" applyFill="1" applyAlignment="1" applyProtection="1">
      <alignment horizontal="left" vertical="center"/>
      <protection hidden="1"/>
    </xf>
    <xf numFmtId="0" fontId="0" fillId="6" borderId="0" xfId="0" applyFont="1" applyFill="1" applyAlignment="1" applyProtection="1">
      <alignment horizontal="left" vertical="center" shrinkToFit="1"/>
      <protection hidden="1"/>
    </xf>
    <xf numFmtId="0" fontId="2" fillId="12" borderId="0" xfId="0" applyFont="1" applyFill="1" applyAlignment="1" applyProtection="1">
      <alignment horizontal="left" vertical="center"/>
      <protection hidden="1"/>
    </xf>
    <xf numFmtId="0" fontId="0" fillId="10" borderId="0" xfId="0" applyFont="1" applyFill="1" applyAlignment="1" applyProtection="1">
      <alignment horizontal="left" vertical="center" wrapText="1"/>
      <protection hidden="1"/>
    </xf>
    <xf numFmtId="0" fontId="3" fillId="5" borderId="1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hidden="1"/>
    </xf>
    <xf numFmtId="0" fontId="11" fillId="7" borderId="0" xfId="0" applyFont="1" applyFill="1" applyBorder="1" applyAlignment="1" applyProtection="1">
      <alignment vertical="center"/>
      <protection hidden="1"/>
    </xf>
    <xf numFmtId="0" fontId="7" fillId="7" borderId="0" xfId="0" applyFont="1" applyFill="1" applyBorder="1" applyAlignment="1" applyProtection="1">
      <alignment horizontal="center" vertical="center" wrapText="1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7" fillId="7" borderId="0" xfId="0" applyFont="1" applyFill="1" applyBorder="1" applyAlignment="1" applyProtection="1">
      <alignment horizontal="center" vertical="center" wrapText="1"/>
      <protection hidden="1"/>
    </xf>
    <xf numFmtId="0" fontId="7" fillId="7" borderId="0" xfId="0" applyFont="1" applyFill="1" applyBorder="1" applyAlignment="1" applyProtection="1">
      <alignment horizontal="right" vertical="center" wrapText="1"/>
      <protection hidden="1"/>
    </xf>
    <xf numFmtId="0" fontId="7" fillId="7" borderId="0" xfId="0" applyFont="1" applyFill="1" applyBorder="1" applyAlignment="1" applyProtection="1">
      <alignment vertical="center" wrapText="1"/>
      <protection hidden="1"/>
    </xf>
    <xf numFmtId="165" fontId="11" fillId="7" borderId="0" xfId="1" applyNumberFormat="1" applyFont="1" applyFill="1" applyBorder="1" applyAlignment="1" applyProtection="1">
      <alignment vertical="center"/>
      <protection hidden="1"/>
    </xf>
    <xf numFmtId="0" fontId="11" fillId="7" borderId="0" xfId="1" applyNumberFormat="1" applyFont="1" applyFill="1" applyBorder="1" applyAlignment="1" applyProtection="1">
      <alignment horizontal="right" vertical="center" indent="2"/>
      <protection hidden="1"/>
    </xf>
    <xf numFmtId="165" fontId="11" fillId="7" borderId="0" xfId="1" applyNumberFormat="1" applyFont="1" applyFill="1" applyBorder="1" applyAlignment="1" applyProtection="1">
      <alignment horizontal="right" vertical="center" indent="2"/>
      <protection hidden="1"/>
    </xf>
    <xf numFmtId="167" fontId="11" fillId="7" borderId="0" xfId="3" applyNumberFormat="1" applyFont="1" applyFill="1" applyBorder="1" applyAlignment="1" applyProtection="1">
      <alignment horizontal="right" vertical="center" indent="1"/>
      <protection hidden="1"/>
    </xf>
    <xf numFmtId="43" fontId="11" fillId="7" borderId="0" xfId="1" quotePrefix="1" applyFont="1" applyFill="1" applyBorder="1" applyAlignment="1" applyProtection="1">
      <alignment horizontal="right" vertical="center" indent="2"/>
      <protection hidden="1"/>
    </xf>
    <xf numFmtId="43" fontId="11" fillId="7" borderId="0" xfId="1" applyFont="1" applyFill="1" applyBorder="1" applyAlignment="1" applyProtection="1">
      <alignment horizontal="right" vertical="center" indent="2"/>
      <protection hidden="1"/>
    </xf>
    <xf numFmtId="0" fontId="11" fillId="7" borderId="0" xfId="1" applyNumberFormat="1" applyFont="1" applyFill="1" applyBorder="1" applyAlignment="1" applyProtection="1">
      <alignment horizontal="right" vertical="center" indent="1"/>
      <protection hidden="1"/>
    </xf>
    <xf numFmtId="164" fontId="11" fillId="7" borderId="0" xfId="1" applyNumberFormat="1" applyFont="1" applyFill="1" applyBorder="1" applyAlignment="1" applyProtection="1">
      <alignment vertical="center"/>
      <protection hidden="1"/>
    </xf>
    <xf numFmtId="9" fontId="11" fillId="7" borderId="0" xfId="3" applyFont="1" applyFill="1" applyBorder="1" applyAlignment="1" applyProtection="1">
      <alignment vertical="center"/>
      <protection hidden="1"/>
    </xf>
    <xf numFmtId="43" fontId="11" fillId="7" borderId="0" xfId="1" applyFont="1" applyFill="1" applyBorder="1" applyAlignment="1" applyProtection="1">
      <alignment vertical="center"/>
      <protection hidden="1"/>
    </xf>
    <xf numFmtId="165" fontId="11" fillId="7" borderId="0" xfId="0" applyNumberFormat="1" applyFont="1" applyFill="1" applyBorder="1" applyAlignment="1" applyProtection="1">
      <alignment vertical="center"/>
      <protection hidden="1"/>
    </xf>
    <xf numFmtId="167" fontId="11" fillId="7" borderId="0" xfId="3" applyNumberFormat="1" applyFont="1" applyFill="1" applyBorder="1" applyAlignment="1" applyProtection="1">
      <alignment vertical="center"/>
      <protection hidden="1"/>
    </xf>
    <xf numFmtId="164" fontId="11" fillId="7" borderId="0" xfId="0" applyNumberFormat="1" applyFont="1" applyFill="1" applyBorder="1" applyAlignment="1" applyProtection="1">
      <alignment vertical="center"/>
      <protection hidden="1"/>
    </xf>
    <xf numFmtId="43" fontId="11" fillId="7" borderId="0" xfId="0" applyNumberFormat="1" applyFont="1" applyFill="1" applyBorder="1" applyAlignment="1" applyProtection="1">
      <alignment vertical="center"/>
      <protection hidden="1"/>
    </xf>
    <xf numFmtId="166" fontId="11" fillId="7" borderId="0" xfId="3" applyNumberFormat="1" applyFont="1" applyFill="1" applyBorder="1" applyAlignment="1" applyProtection="1">
      <alignment horizontal="right" vertical="center" indent="1"/>
      <protection hidden="1"/>
    </xf>
    <xf numFmtId="0" fontId="7" fillId="7" borderId="0" xfId="0" applyFont="1" applyFill="1" applyBorder="1" applyAlignment="1" applyProtection="1">
      <alignment horizontal="left" vertical="center"/>
      <protection hidden="1"/>
    </xf>
    <xf numFmtId="0" fontId="7" fillId="7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right" vertical="center"/>
      <protection hidden="1"/>
    </xf>
    <xf numFmtId="43" fontId="7" fillId="7" borderId="0" xfId="1" applyFont="1" applyFill="1" applyBorder="1" applyAlignment="1" applyProtection="1">
      <alignment vertical="center"/>
      <protection hidden="1"/>
    </xf>
    <xf numFmtId="43" fontId="11" fillId="7" borderId="0" xfId="1" applyFont="1" applyFill="1" applyBorder="1" applyAlignment="1" applyProtection="1">
      <alignment horizontal="right" vertical="center"/>
      <protection hidden="1"/>
    </xf>
    <xf numFmtId="166" fontId="11" fillId="7" borderId="0" xfId="3" applyNumberFormat="1" applyFont="1" applyFill="1" applyBorder="1" applyAlignment="1" applyProtection="1">
      <alignment horizontal="right" vertical="center"/>
      <protection hidden="1"/>
    </xf>
    <xf numFmtId="10" fontId="11" fillId="7" borderId="0" xfId="3" applyNumberFormat="1" applyFont="1" applyFill="1" applyBorder="1" applyAlignment="1" applyProtection="1">
      <alignment vertical="center"/>
      <protection hidden="1"/>
    </xf>
    <xf numFmtId="9" fontId="11" fillId="7" borderId="0" xfId="0" applyNumberFormat="1" applyFont="1" applyFill="1" applyBorder="1" applyAlignment="1" applyProtection="1">
      <alignment vertical="center"/>
      <protection hidden="1"/>
    </xf>
    <xf numFmtId="166" fontId="11" fillId="7" borderId="0" xfId="3" applyNumberFormat="1" applyFont="1" applyFill="1" applyBorder="1" applyAlignment="1" applyProtection="1">
      <alignment vertical="center"/>
      <protection hidden="1"/>
    </xf>
    <xf numFmtId="168" fontId="11" fillId="7" borderId="0" xfId="0" applyNumberFormat="1" applyFont="1" applyFill="1" applyBorder="1" applyAlignment="1" applyProtection="1">
      <alignment vertical="center"/>
      <protection hidden="1"/>
    </xf>
    <xf numFmtId="0" fontId="11" fillId="7" borderId="0" xfId="0" applyFont="1" applyFill="1" applyAlignment="1" applyProtection="1">
      <alignment vertical="center"/>
      <protection hidden="1"/>
    </xf>
    <xf numFmtId="171" fontId="11" fillId="7" borderId="0" xfId="0" applyNumberFormat="1" applyFont="1" applyFill="1" applyBorder="1" applyAlignment="1" applyProtection="1">
      <alignment vertical="center"/>
      <protection hidden="1"/>
    </xf>
    <xf numFmtId="0" fontId="11" fillId="7" borderId="0" xfId="0" quotePrefix="1" applyFont="1" applyFill="1" applyBorder="1" applyAlignment="1" applyProtection="1">
      <alignment vertical="center"/>
      <protection hidden="1"/>
    </xf>
    <xf numFmtId="169" fontId="11" fillId="7" borderId="0" xfId="2" applyNumberFormat="1" applyFont="1" applyFill="1" applyBorder="1" applyAlignment="1" applyProtection="1">
      <alignment vertical="center"/>
      <protection hidden="1"/>
    </xf>
    <xf numFmtId="170" fontId="11" fillId="7" borderId="0" xfId="3" applyNumberFormat="1" applyFont="1" applyFill="1" applyBorder="1" applyAlignment="1" applyProtection="1">
      <alignment vertical="center"/>
      <protection hidden="1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3">
    <dxf>
      <font>
        <b/>
        <i/>
        <strike val="0"/>
        <color rgb="FFFF0000"/>
      </font>
      <fill>
        <patternFill>
          <bgColor theme="5" tint="0.59996337778862885"/>
        </patternFill>
      </fill>
    </dxf>
    <dxf>
      <font>
        <b/>
        <i/>
        <strike val="0"/>
        <color rgb="FFFF0000"/>
      </font>
      <fill>
        <patternFill>
          <bgColor theme="5" tint="0.59996337778862885"/>
        </patternFill>
      </fill>
    </dxf>
    <dxf>
      <font>
        <b/>
        <i/>
        <strike val="0"/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99"/>
      <color rgb="FFFFD85B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elmo.nl/webshop/categ/zout-12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218539</xdr:colOff>
      <xdr:row>0</xdr:row>
      <xdr:rowOff>9525</xdr:rowOff>
    </xdr:from>
    <xdr:to>
      <xdr:col>4</xdr:col>
      <xdr:colOff>1742017</xdr:colOff>
      <xdr:row>2</xdr:row>
      <xdr:rowOff>185475</xdr:rowOff>
    </xdr:to>
    <xdr:pic>
      <xdr:nvPicPr>
        <xdr:cNvPr id="4" name="Afbeelding 3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2" t="25036" r="3177" b="25105"/>
        <a:stretch/>
      </xdr:blipFill>
      <xdr:spPr bwMode="auto">
        <a:xfrm>
          <a:off x="5309122" y="9525"/>
          <a:ext cx="1523478" cy="57811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4"/>
  <sheetViews>
    <sheetView tabSelected="1" zoomScale="90" zoomScaleNormal="90" workbookViewId="0">
      <pane ySplit="33" topLeftCell="A34" activePane="bottomLeft" state="frozen"/>
      <selection pane="bottomLeft" activeCell="C13" sqref="C13:E13"/>
    </sheetView>
  </sheetViews>
  <sheetFormatPr defaultColWidth="0" defaultRowHeight="12.75" zeroHeight="1" x14ac:dyDescent="0.2"/>
  <cols>
    <col min="1" max="1" width="37" style="1" customWidth="1"/>
    <col min="2" max="2" width="10.5" style="1" customWidth="1"/>
    <col min="3" max="3" width="6.625" style="1" customWidth="1"/>
    <col min="4" max="4" width="12.625" style="1" customWidth="1"/>
    <col min="5" max="5" width="24.875" style="1" customWidth="1"/>
    <col min="6" max="12" width="12.25" style="54" hidden="1" customWidth="1"/>
    <col min="13" max="14" width="9" style="1" hidden="1" customWidth="1"/>
    <col min="15" max="15" width="11.25" style="1" hidden="1" customWidth="1"/>
    <col min="16" max="16" width="7" style="1" hidden="1" customWidth="1"/>
    <col min="17" max="17" width="7.25" style="2" hidden="1" customWidth="1"/>
    <col min="18" max="20" width="2.5" style="3" hidden="1" customWidth="1"/>
    <col min="21" max="21" width="6.75" style="3" hidden="1" customWidth="1"/>
    <col min="22" max="22" width="5.125" style="3" hidden="1" customWidth="1"/>
    <col min="23" max="23" width="10" style="3" hidden="1" customWidth="1"/>
    <col min="24" max="24" width="12.5" style="1" hidden="1" customWidth="1"/>
    <col min="25" max="16384" width="9" style="1" hidden="1"/>
  </cols>
  <sheetData>
    <row r="1" spans="1:18" ht="15.95" customHeight="1" x14ac:dyDescent="0.2">
      <c r="A1" s="108" t="s">
        <v>63</v>
      </c>
      <c r="B1" s="108"/>
      <c r="C1" s="108"/>
      <c r="D1" s="108"/>
      <c r="E1" s="111"/>
      <c r="F1" s="53"/>
      <c r="G1" s="53"/>
      <c r="H1" s="53"/>
      <c r="I1" s="53"/>
      <c r="J1" s="53"/>
      <c r="K1" s="53"/>
      <c r="L1" s="53"/>
    </row>
    <row r="2" spans="1:18" ht="15.95" customHeight="1" x14ac:dyDescent="0.2">
      <c r="A2" s="114"/>
      <c r="B2" s="114"/>
      <c r="C2" s="114"/>
      <c r="D2" s="115"/>
      <c r="E2" s="112"/>
      <c r="F2" s="53"/>
      <c r="G2" s="53"/>
      <c r="H2" s="53"/>
      <c r="I2" s="53"/>
      <c r="J2" s="53"/>
      <c r="K2" s="53"/>
      <c r="L2" s="53"/>
    </row>
    <row r="3" spans="1:18" ht="15.95" customHeight="1" x14ac:dyDescent="0.2">
      <c r="A3" s="15" t="s">
        <v>37</v>
      </c>
      <c r="B3" s="109"/>
      <c r="C3" s="110"/>
      <c r="D3" s="110"/>
      <c r="E3" s="113"/>
      <c r="F3" s="53"/>
      <c r="G3" s="53"/>
      <c r="H3" s="53"/>
      <c r="I3" s="53"/>
      <c r="J3" s="53"/>
      <c r="K3" s="53"/>
      <c r="L3" s="53"/>
    </row>
    <row r="4" spans="1:18" x14ac:dyDescent="0.2">
      <c r="A4" s="1" t="s">
        <v>38</v>
      </c>
      <c r="B4" s="107"/>
      <c r="C4" s="117" t="s">
        <v>0</v>
      </c>
      <c r="D4" s="117"/>
      <c r="E4" s="117"/>
    </row>
    <row r="5" spans="1:18" x14ac:dyDescent="0.2">
      <c r="A5" s="117" t="s">
        <v>50</v>
      </c>
      <c r="B5" s="107"/>
      <c r="C5" s="117" t="s">
        <v>40</v>
      </c>
      <c r="D5" s="117"/>
      <c r="E5" s="117"/>
      <c r="H5" s="58" t="s">
        <v>92</v>
      </c>
      <c r="I5" s="54">
        <f>B4*B5*0.006</f>
        <v>0</v>
      </c>
      <c r="O5" s="1">
        <f>IF((B5&gt;0),1,0)</f>
        <v>0</v>
      </c>
    </row>
    <row r="6" spans="1:18" x14ac:dyDescent="0.2">
      <c r="A6" s="117"/>
      <c r="B6" s="107"/>
      <c r="C6" s="117" t="s">
        <v>41</v>
      </c>
      <c r="D6" s="117"/>
      <c r="E6" s="117"/>
      <c r="O6" s="1">
        <f>IF((B6&gt;0),1,0)</f>
        <v>0</v>
      </c>
    </row>
    <row r="7" spans="1:18" x14ac:dyDescent="0.2">
      <c r="A7" s="117" t="s">
        <v>44</v>
      </c>
      <c r="B7" s="124"/>
      <c r="C7" s="117" t="s">
        <v>99</v>
      </c>
      <c r="D7" s="117"/>
      <c r="E7" s="117"/>
      <c r="O7" s="1">
        <f>IF((B7&gt;0),1,0)</f>
        <v>0</v>
      </c>
    </row>
    <row r="8" spans="1:18" x14ac:dyDescent="0.2">
      <c r="A8" s="117"/>
      <c r="B8" s="124"/>
      <c r="C8" s="117"/>
      <c r="D8" s="117"/>
      <c r="E8" s="117"/>
      <c r="O8" s="1">
        <f>SUM(O5:O7)</f>
        <v>0</v>
      </c>
    </row>
    <row r="9" spans="1:18" x14ac:dyDescent="0.2">
      <c r="A9" s="50" t="s">
        <v>91</v>
      </c>
      <c r="B9" s="71">
        <f>I5</f>
        <v>0</v>
      </c>
      <c r="C9" s="1" t="s">
        <v>39</v>
      </c>
      <c r="D9" s="50"/>
      <c r="E9" s="50"/>
    </row>
    <row r="10" spans="1:18" ht="13.5" customHeight="1" x14ac:dyDescent="0.2">
      <c r="B10" s="33">
        <f>SUM(B5:B8)</f>
        <v>0</v>
      </c>
      <c r="C10" s="50"/>
      <c r="D10" s="50"/>
      <c r="E10" s="16"/>
      <c r="F10" s="55"/>
      <c r="G10" s="55"/>
      <c r="H10" s="55"/>
      <c r="I10" s="55"/>
      <c r="J10" s="55"/>
      <c r="K10" s="55"/>
      <c r="L10" s="55"/>
    </row>
    <row r="11" spans="1:18" x14ac:dyDescent="0.2">
      <c r="A11" s="1" t="str">
        <f t="shared" ref="A11:A16" si="0">"kostprijs "&amp;(O11)</f>
        <v>kostprijs Colorozo 0.6</v>
      </c>
      <c r="B11" s="14">
        <v>0.3</v>
      </c>
      <c r="C11" s="117" t="s">
        <v>64</v>
      </c>
      <c r="D11" s="117"/>
      <c r="E11" s="117"/>
      <c r="O11" s="2" t="str">
        <f>+parameters!A42</f>
        <v>Colorozo 0.6</v>
      </c>
      <c r="P11" s="23">
        <f>+parameters!C25</f>
        <v>0.3</v>
      </c>
      <c r="Q11" s="1"/>
      <c r="R11" s="1"/>
    </row>
    <row r="12" spans="1:18" x14ac:dyDescent="0.2">
      <c r="A12" s="1" t="str">
        <f t="shared" si="0"/>
        <v>kostprijs Colorozo 3.0</v>
      </c>
      <c r="B12" s="14">
        <v>0.34</v>
      </c>
      <c r="C12" s="117" t="s">
        <v>65</v>
      </c>
      <c r="D12" s="117"/>
      <c r="E12" s="117"/>
      <c r="O12" s="2" t="str">
        <f>+parameters!A44</f>
        <v>Colorozo 3.0</v>
      </c>
      <c r="P12" s="23">
        <f>+parameters!C27</f>
        <v>0.34240000000000004</v>
      </c>
      <c r="Q12" s="1"/>
      <c r="R12" s="1"/>
    </row>
    <row r="13" spans="1:18" x14ac:dyDescent="0.2">
      <c r="A13" s="1" t="str">
        <f t="shared" si="0"/>
        <v>kostprijs keukenzout</v>
      </c>
      <c r="B13" s="14">
        <v>0.34</v>
      </c>
      <c r="C13" s="117" t="s">
        <v>65</v>
      </c>
      <c r="D13" s="117"/>
      <c r="E13" s="117"/>
      <c r="O13" s="2" t="str">
        <f>+parameters!A45</f>
        <v>keukenzout</v>
      </c>
      <c r="P13" s="23">
        <f>+parameters!C31</f>
        <v>0.34</v>
      </c>
      <c r="Q13" s="1"/>
      <c r="R13" s="1"/>
    </row>
    <row r="14" spans="1:18" x14ac:dyDescent="0.2">
      <c r="A14" s="1" t="str">
        <f t="shared" si="0"/>
        <v>kostprijs Kolosel 600</v>
      </c>
      <c r="B14" s="14">
        <v>8.41</v>
      </c>
      <c r="C14" s="117" t="s">
        <v>66</v>
      </c>
      <c r="D14" s="117"/>
      <c r="E14" s="117"/>
      <c r="O14" s="2" t="str">
        <f>+parameters!A47</f>
        <v>Kolosel 600</v>
      </c>
      <c r="P14" s="23">
        <f>+parameters!C29</f>
        <v>8.4114285714285728</v>
      </c>
      <c r="Q14" s="1"/>
      <c r="R14" s="1"/>
    </row>
    <row r="15" spans="1:18" x14ac:dyDescent="0.2">
      <c r="A15" s="1" t="str">
        <f t="shared" si="0"/>
        <v>kostprijs Potasel</v>
      </c>
      <c r="B15" s="14">
        <v>6.94</v>
      </c>
      <c r="C15" s="117" t="s">
        <v>67</v>
      </c>
      <c r="D15" s="117"/>
      <c r="E15" s="117"/>
      <c r="G15" s="1"/>
      <c r="H15" s="1"/>
      <c r="I15" s="1"/>
      <c r="O15" s="2" t="str">
        <f>+parameters!A46</f>
        <v>Potasel</v>
      </c>
      <c r="P15" s="23">
        <f>+parameters!C30</f>
        <v>6.9363000000000001</v>
      </c>
      <c r="Q15" s="1"/>
      <c r="R15" s="1"/>
    </row>
    <row r="16" spans="1:18" x14ac:dyDescent="0.2">
      <c r="A16" s="1" t="str">
        <f t="shared" si="0"/>
        <v>kostprijs ander kaliumhoudend zout*</v>
      </c>
      <c r="B16" s="14">
        <v>3.78</v>
      </c>
      <c r="C16" s="117" t="s">
        <v>68</v>
      </c>
      <c r="D16" s="117"/>
      <c r="E16" s="117"/>
      <c r="G16" s="1"/>
      <c r="H16" s="1"/>
      <c r="I16" s="1"/>
      <c r="O16" s="2" t="str">
        <f>+parameters!A48</f>
        <v>ander kaliumhoudend zout*</v>
      </c>
      <c r="P16" s="23">
        <f>+parameters!C28</f>
        <v>3.7800000000000002</v>
      </c>
      <c r="Q16" s="1"/>
      <c r="R16" s="1"/>
    </row>
    <row r="17" spans="1:24" x14ac:dyDescent="0.2">
      <c r="A17" s="25" t="s">
        <v>76</v>
      </c>
      <c r="G17" s="1"/>
      <c r="H17" s="1"/>
      <c r="I17" s="1"/>
    </row>
    <row r="18" spans="1:24" x14ac:dyDescent="0.2">
      <c r="G18" s="1"/>
      <c r="H18" s="1"/>
      <c r="I18" s="1"/>
    </row>
    <row r="19" spans="1:24" x14ac:dyDescent="0.2">
      <c r="A19" s="120" t="s">
        <v>61</v>
      </c>
      <c r="B19" s="120"/>
      <c r="C19" s="120"/>
      <c r="D19" s="120"/>
      <c r="E19" s="120"/>
      <c r="G19" s="1"/>
      <c r="H19" s="1"/>
      <c r="I19" s="1"/>
    </row>
    <row r="20" spans="1:24" x14ac:dyDescent="0.2">
      <c r="A20" s="72" t="str">
        <f>+O11</f>
        <v>Colorozo 0.6</v>
      </c>
      <c r="B20" s="73">
        <f>IF((B$5=0),0,G24)</f>
        <v>0</v>
      </c>
      <c r="C20" s="118" t="s">
        <v>39</v>
      </c>
      <c r="D20" s="118"/>
      <c r="E20" s="118"/>
      <c r="F20" s="19" t="s">
        <v>59</v>
      </c>
      <c r="G20" s="1"/>
      <c r="H20" s="1"/>
      <c r="I20" s="1"/>
      <c r="P20" s="19"/>
    </row>
    <row r="21" spans="1:24" x14ac:dyDescent="0.2">
      <c r="A21" s="72" t="str">
        <f>+O13</f>
        <v>keukenzout</v>
      </c>
      <c r="B21" s="73">
        <f>IF((B$6=0),0,G23)</f>
        <v>0</v>
      </c>
      <c r="C21" s="118" t="s">
        <v>39</v>
      </c>
      <c r="D21" s="118"/>
      <c r="E21" s="118"/>
      <c r="F21" s="5">
        <f>B11/1000*B20</f>
        <v>0</v>
      </c>
      <c r="G21" s="4">
        <f>+I27</f>
        <v>0</v>
      </c>
      <c r="H21" s="61" t="s">
        <v>86</v>
      </c>
      <c r="I21" s="62">
        <f>(B4*B5)</f>
        <v>0</v>
      </c>
      <c r="J21" s="54">
        <v>50</v>
      </c>
      <c r="K21" s="54">
        <f>J21*1</f>
        <v>50</v>
      </c>
      <c r="L21" s="54">
        <f>J21*0.006</f>
        <v>0.3</v>
      </c>
      <c r="M21" s="3"/>
      <c r="N21" s="11">
        <f>B20*0.006</f>
        <v>0</v>
      </c>
      <c r="P21" s="6">
        <f>IF((B7=0),(B4*B5),Q21)</f>
        <v>0</v>
      </c>
    </row>
    <row r="22" spans="1:24" x14ac:dyDescent="0.2">
      <c r="A22" s="72" t="str">
        <f>+O15</f>
        <v>Potasel</v>
      </c>
      <c r="B22" s="73">
        <f>IF((B$6=0),0,G22)</f>
        <v>0</v>
      </c>
      <c r="C22" s="118" t="s">
        <v>39</v>
      </c>
      <c r="D22" s="118"/>
      <c r="E22" s="118"/>
      <c r="F22" s="5">
        <f>B$13/1000*B21</f>
        <v>0</v>
      </c>
      <c r="G22" s="6">
        <f>+I28</f>
        <v>0</v>
      </c>
      <c r="H22" s="61" t="s">
        <v>87</v>
      </c>
      <c r="I22" s="62">
        <f>(B4*B6)</f>
        <v>0</v>
      </c>
      <c r="K22" s="54">
        <f t="shared" ref="K22:K24" si="1">J22*1</f>
        <v>0</v>
      </c>
      <c r="M22" s="3"/>
      <c r="N22" s="11">
        <f>B21*0</f>
        <v>0</v>
      </c>
      <c r="P22" s="6">
        <f>IF((B7=0),(B4*B6),Q22)</f>
        <v>0</v>
      </c>
      <c r="W22" s="11"/>
    </row>
    <row r="23" spans="1:24" x14ac:dyDescent="0.2">
      <c r="A23" s="72" t="str">
        <f>+O14</f>
        <v>Kolosel 600</v>
      </c>
      <c r="B23" s="74">
        <f>IF((B$5=0),0,G21)</f>
        <v>0</v>
      </c>
      <c r="C23" s="118" t="s">
        <v>39</v>
      </c>
      <c r="D23" s="118"/>
      <c r="E23" s="118"/>
      <c r="F23" s="5">
        <f>B15/1000*B22</f>
        <v>0</v>
      </c>
      <c r="G23" s="6">
        <f>+I29</f>
        <v>0</v>
      </c>
      <c r="H23" s="61" t="s">
        <v>88</v>
      </c>
      <c r="I23" s="62">
        <f>I21*(B7/100)</f>
        <v>0</v>
      </c>
      <c r="J23" s="54">
        <v>200</v>
      </c>
      <c r="K23" s="54">
        <f t="shared" si="1"/>
        <v>200</v>
      </c>
      <c r="M23" s="3"/>
      <c r="N23" s="11">
        <f>B22*0</f>
        <v>0</v>
      </c>
      <c r="P23" s="5"/>
      <c r="W23" s="22">
        <f>G40+G41</f>
        <v>0</v>
      </c>
      <c r="X23" s="39">
        <f>W25-W23</f>
        <v>0</v>
      </c>
    </row>
    <row r="24" spans="1:24" x14ac:dyDescent="0.2">
      <c r="A24" s="72" t="s">
        <v>54</v>
      </c>
      <c r="B24" s="75">
        <f>(B4*B5)+(B4*B6)</f>
        <v>0</v>
      </c>
      <c r="C24" s="118" t="s">
        <v>39</v>
      </c>
      <c r="D24" s="118"/>
      <c r="E24" s="118"/>
      <c r="F24" s="7">
        <f>B14/1000*B23</f>
        <v>0</v>
      </c>
      <c r="G24" s="6">
        <f>+I30</f>
        <v>0</v>
      </c>
      <c r="H24" s="61" t="s">
        <v>89</v>
      </c>
      <c r="I24" s="62">
        <f>I22*(B7/100)</f>
        <v>0</v>
      </c>
      <c r="K24" s="54">
        <f t="shared" si="1"/>
        <v>0</v>
      </c>
      <c r="L24" s="54">
        <f>J24*0.006</f>
        <v>0</v>
      </c>
      <c r="M24" s="3"/>
      <c r="N24" s="24">
        <f>B23*0.006</f>
        <v>0</v>
      </c>
      <c r="P24" s="20"/>
      <c r="X24" s="3" t="e">
        <f>W25/X23</f>
        <v>#DIV/0!</v>
      </c>
    </row>
    <row r="25" spans="1:24" ht="12.75" customHeight="1" x14ac:dyDescent="0.2">
      <c r="A25" s="18"/>
      <c r="B25" s="96">
        <f>SUM(B20:B23)-B24</f>
        <v>0</v>
      </c>
      <c r="C25" s="18"/>
      <c r="D25" s="18"/>
      <c r="E25" s="18"/>
      <c r="F25" s="5">
        <f>SUM(F21:F24)</f>
        <v>0</v>
      </c>
      <c r="H25" s="61" t="s">
        <v>90</v>
      </c>
      <c r="I25" s="62">
        <f>(I21+I22)-(I23+I24)</f>
        <v>0</v>
      </c>
      <c r="J25" s="56"/>
      <c r="K25" s="56">
        <f>SUM(K21:K24)</f>
        <v>250</v>
      </c>
      <c r="L25" s="56">
        <f>SUM(L21:L24)</f>
        <v>0.3</v>
      </c>
      <c r="M25" s="3"/>
      <c r="N25" s="11">
        <f>SUM(N21:N24)</f>
        <v>0</v>
      </c>
      <c r="P25" s="5"/>
      <c r="W25" s="40">
        <f>F45</f>
        <v>0</v>
      </c>
      <c r="X25" s="41" t="e">
        <f>(F45*B7*0.01)*X24</f>
        <v>#DIV/0!</v>
      </c>
    </row>
    <row r="26" spans="1:24" ht="12.75" customHeight="1" x14ac:dyDescent="0.2">
      <c r="A26" s="94" t="s">
        <v>96</v>
      </c>
      <c r="B26" s="89"/>
      <c r="C26" s="88"/>
      <c r="D26" s="88"/>
      <c r="E26" s="90"/>
      <c r="F26" s="3"/>
      <c r="G26" s="6"/>
      <c r="H26" s="61" t="s">
        <v>80</v>
      </c>
      <c r="I26" s="68">
        <f>(B5*B4*0.006)</f>
        <v>0</v>
      </c>
      <c r="K26" s="54">
        <f>I21+I22</f>
        <v>0</v>
      </c>
      <c r="L26" s="54">
        <f>+I26</f>
        <v>0</v>
      </c>
      <c r="M26" s="5"/>
      <c r="N26" s="11"/>
      <c r="P26" s="3"/>
      <c r="W26" s="44"/>
      <c r="X26" s="45" t="e">
        <f>X25/0.4*X24</f>
        <v>#DIV/0!</v>
      </c>
    </row>
    <row r="27" spans="1:24" ht="12.75" customHeight="1" x14ac:dyDescent="0.2">
      <c r="A27" s="76" t="s">
        <v>93</v>
      </c>
      <c r="B27" s="77">
        <f>(B20+B23)*0.006</f>
        <v>0</v>
      </c>
      <c r="C27" s="72" t="s">
        <v>39</v>
      </c>
      <c r="D27" s="72" t="str">
        <f>"(doel: "&amp;(I$5)&amp;" gram)"</f>
        <v>(doel: 0 gram)</v>
      </c>
      <c r="E27" s="72"/>
      <c r="F27" s="3"/>
      <c r="G27" s="1"/>
      <c r="H27" s="61" t="s">
        <v>85</v>
      </c>
      <c r="I27" s="62">
        <f>I23</f>
        <v>0</v>
      </c>
      <c r="K27" s="54">
        <f>K26-K26*B7/100</f>
        <v>0</v>
      </c>
      <c r="M27" s="5"/>
      <c r="N27" s="11"/>
      <c r="P27" s="3"/>
      <c r="W27" s="44"/>
      <c r="X27" s="45"/>
    </row>
    <row r="28" spans="1:24" ht="12.75" customHeight="1" x14ac:dyDescent="0.2">
      <c r="A28" s="76" t="s">
        <v>94</v>
      </c>
      <c r="B28" s="77">
        <f>B20+B21</f>
        <v>0</v>
      </c>
      <c r="C28" s="72" t="s">
        <v>39</v>
      </c>
      <c r="D28" s="78" t="str">
        <f>IF((B28=0),"",(G29))</f>
        <v/>
      </c>
      <c r="E28" s="79" t="str">
        <f>IF((B28=0),"","van "&amp;B$24&amp;" gram")</f>
        <v/>
      </c>
      <c r="F28" s="3"/>
      <c r="G28" s="1"/>
      <c r="H28" s="61" t="s">
        <v>2</v>
      </c>
      <c r="I28" s="62">
        <f>+I24</f>
        <v>0</v>
      </c>
      <c r="M28" s="5"/>
      <c r="N28" s="11"/>
      <c r="P28" s="3"/>
      <c r="W28" s="44"/>
      <c r="X28" s="45"/>
    </row>
    <row r="29" spans="1:24" ht="12.75" customHeight="1" x14ac:dyDescent="0.2">
      <c r="A29" s="76" t="s">
        <v>95</v>
      </c>
      <c r="B29" s="77">
        <f>B22+B23</f>
        <v>0</v>
      </c>
      <c r="C29" s="72" t="s">
        <v>39</v>
      </c>
      <c r="D29" s="78" t="str">
        <f>IF((B29=0),"",(G30))</f>
        <v/>
      </c>
      <c r="E29" s="79" t="str">
        <f>IF((B29=0),"","van "&amp;B$24&amp;" gram")</f>
        <v/>
      </c>
      <c r="F29" s="3"/>
      <c r="G29" s="70" t="e">
        <f>B28/B24</f>
        <v>#DIV/0!</v>
      </c>
      <c r="H29" s="61" t="s">
        <v>33</v>
      </c>
      <c r="I29" s="62">
        <f>I22-I28</f>
        <v>0</v>
      </c>
      <c r="M29" s="5"/>
      <c r="N29" s="11"/>
      <c r="P29" s="3"/>
      <c r="W29" s="44"/>
      <c r="X29" s="45"/>
    </row>
    <row r="30" spans="1:24" ht="12.75" customHeight="1" x14ac:dyDescent="0.2">
      <c r="A30" s="3"/>
      <c r="B30" s="6"/>
      <c r="C30" s="3"/>
      <c r="D30" s="3"/>
      <c r="E30" s="3"/>
      <c r="F30" s="3"/>
      <c r="G30" s="70" t="e">
        <f>B29/B24</f>
        <v>#DIV/0!</v>
      </c>
      <c r="H30" s="63" t="s">
        <v>84</v>
      </c>
      <c r="I30" s="64">
        <f>(I21-I27)</f>
        <v>0</v>
      </c>
      <c r="M30" s="5"/>
      <c r="N30" s="11"/>
      <c r="P30" s="3"/>
      <c r="W30" s="44"/>
      <c r="X30" s="45"/>
    </row>
    <row r="31" spans="1:24" ht="12.75" customHeight="1" x14ac:dyDescent="0.2">
      <c r="A31" s="91" t="s">
        <v>98</v>
      </c>
      <c r="B31" s="95" t="s">
        <v>43</v>
      </c>
      <c r="C31" s="93" t="s">
        <v>42</v>
      </c>
      <c r="D31" s="93"/>
      <c r="E31" s="92"/>
      <c r="F31" s="3"/>
      <c r="M31" s="5"/>
      <c r="N31" s="11"/>
      <c r="P31" s="3"/>
      <c r="W31" s="44"/>
      <c r="X31" s="45"/>
    </row>
    <row r="32" spans="1:24" x14ac:dyDescent="0.2">
      <c r="A32" s="116" t="str">
        <f>(N57)&amp;" "&amp;(O57)&amp;" "&amp;(O58)&amp;" "&amp;(P57)&amp;(N58)&amp;(P58)</f>
        <v xml:space="preserve">   </v>
      </c>
      <c r="B32" s="29">
        <f>+F25</f>
        <v>0</v>
      </c>
      <c r="C32" s="30" t="s">
        <v>1</v>
      </c>
      <c r="D32" s="30"/>
      <c r="E32" s="31"/>
      <c r="F32" s="1"/>
      <c r="G32" s="1"/>
      <c r="H32" s="1"/>
      <c r="I32" s="1"/>
      <c r="J32" s="1"/>
      <c r="N32" s="52"/>
      <c r="S32" s="10"/>
      <c r="T32" s="6"/>
      <c r="U32" s="6"/>
      <c r="W32" s="43"/>
      <c r="X32" s="49"/>
    </row>
    <row r="33" spans="1:28" x14ac:dyDescent="0.2">
      <c r="A33" s="116"/>
      <c r="B33" s="32" t="e">
        <f>B32/B$4</f>
        <v>#DIV/0!</v>
      </c>
      <c r="C33" s="30" t="s">
        <v>60</v>
      </c>
      <c r="D33" s="30"/>
      <c r="E33" s="31"/>
      <c r="F33" s="1"/>
      <c r="G33" s="1"/>
      <c r="H33" s="1"/>
      <c r="I33" s="1"/>
      <c r="J33" s="1"/>
      <c r="N33" s="52"/>
      <c r="S33" s="10"/>
      <c r="T33" s="6"/>
      <c r="U33" s="6"/>
      <c r="W33" s="43"/>
      <c r="X33" s="49"/>
    </row>
    <row r="34" spans="1:28" x14ac:dyDescent="0.2">
      <c r="A34" s="3"/>
      <c r="B34" s="6"/>
      <c r="C34" s="3"/>
      <c r="D34" s="3"/>
      <c r="E34" s="3"/>
      <c r="Q34" s="1"/>
      <c r="R34" s="1"/>
      <c r="S34" s="1"/>
      <c r="T34" s="1"/>
      <c r="U34" s="2">
        <f>U45*(B7/100)</f>
        <v>0</v>
      </c>
      <c r="X34" s="51">
        <f>B4*B6*(1-(B7/100))</f>
        <v>0</v>
      </c>
      <c r="Y34" s="6"/>
      <c r="Z34" s="3"/>
      <c r="AA34" s="3"/>
      <c r="AB34" s="11"/>
    </row>
    <row r="35" spans="1:28" hidden="1" x14ac:dyDescent="0.2">
      <c r="A35" s="36" t="s">
        <v>51</v>
      </c>
      <c r="B35" s="6"/>
      <c r="C35" s="3"/>
      <c r="D35" s="3"/>
      <c r="E35" s="3"/>
      <c r="Q35" s="1"/>
      <c r="R35" s="1"/>
      <c r="S35" s="1"/>
      <c r="T35" s="1"/>
      <c r="U35" s="2"/>
      <c r="X35" s="51"/>
      <c r="Y35" s="6"/>
      <c r="Z35" s="3"/>
      <c r="AA35" s="3"/>
      <c r="AB35" s="11"/>
    </row>
    <row r="36" spans="1:28" hidden="1" x14ac:dyDescent="0.2">
      <c r="A36" s="122" t="s">
        <v>62</v>
      </c>
      <c r="B36" s="122"/>
      <c r="C36" s="122"/>
      <c r="D36" s="122"/>
      <c r="E36" s="122"/>
      <c r="Q36" s="1"/>
      <c r="R36" s="1"/>
      <c r="S36" s="1"/>
      <c r="T36" s="1"/>
      <c r="U36" s="2"/>
      <c r="X36" s="51"/>
      <c r="Y36" s="6"/>
      <c r="Z36" s="3"/>
      <c r="AA36" s="3"/>
      <c r="AB36" s="11"/>
    </row>
    <row r="37" spans="1:28" ht="12.75" hidden="1" customHeight="1" x14ac:dyDescent="0.2">
      <c r="A37" s="80" t="str">
        <f>O11</f>
        <v>Colorozo 0.6</v>
      </c>
      <c r="B37" s="81">
        <f>IF((B$7&gt;32),0,0)</f>
        <v>0</v>
      </c>
      <c r="C37" s="123" t="str">
        <f>IF((B7&gt;32),(M$39),(N39))</f>
        <v>gram                                                                      gram                                                                           gram                                                                          gram</v>
      </c>
      <c r="D37" s="123"/>
      <c r="E37" s="123"/>
      <c r="F37" s="3"/>
      <c r="M37" s="5"/>
      <c r="N37" s="11"/>
      <c r="P37" s="3"/>
      <c r="W37" s="44"/>
      <c r="X37" s="45"/>
    </row>
    <row r="38" spans="1:28" ht="12.75" hidden="1" customHeight="1" x14ac:dyDescent="0.2">
      <c r="A38" s="80" t="str">
        <f>O12</f>
        <v>Colorozo 3.0</v>
      </c>
      <c r="B38" s="81">
        <f>IF((B$7&gt;32),0,G41)</f>
        <v>0</v>
      </c>
      <c r="C38" s="123"/>
      <c r="D38" s="123"/>
      <c r="E38" s="123"/>
      <c r="F38" s="59"/>
      <c r="M38" s="5"/>
      <c r="N38" s="11"/>
      <c r="P38" s="3"/>
      <c r="Q38" s="8" t="s">
        <v>56</v>
      </c>
      <c r="R38" s="3">
        <f>B$4*B$5</f>
        <v>0</v>
      </c>
      <c r="W38" s="44"/>
      <c r="X38" s="45" t="e">
        <f>W25-X26</f>
        <v>#DIV/0!</v>
      </c>
    </row>
    <row r="39" spans="1:28" hidden="1" x14ac:dyDescent="0.2">
      <c r="A39" s="80" t="str">
        <f>+A21</f>
        <v>keukenzout</v>
      </c>
      <c r="B39" s="81">
        <f>IF((B$7&gt;32),0,G42)</f>
        <v>0</v>
      </c>
      <c r="C39" s="123"/>
      <c r="D39" s="123"/>
      <c r="E39" s="123"/>
      <c r="F39" s="19" t="s">
        <v>59</v>
      </c>
      <c r="G39" s="19"/>
      <c r="H39" s="65" t="s">
        <v>56</v>
      </c>
      <c r="I39" s="66">
        <f>(B4*B5)+(B4*B6)</f>
        <v>0</v>
      </c>
      <c r="M39" s="5" t="s">
        <v>75</v>
      </c>
      <c r="N39" s="1" t="s">
        <v>97</v>
      </c>
      <c r="P39" s="19"/>
      <c r="Q39" s="2" t="s">
        <v>57</v>
      </c>
      <c r="R39" s="10">
        <f>+B$7/100</f>
        <v>0</v>
      </c>
      <c r="T39" s="8" t="s">
        <v>56</v>
      </c>
      <c r="U39" s="3">
        <f>B$4*B$6</f>
        <v>0</v>
      </c>
      <c r="W39" s="48"/>
      <c r="X39" s="45" t="e">
        <f>SUM(X26:X38)</f>
        <v>#DIV/0!</v>
      </c>
    </row>
    <row r="40" spans="1:28" hidden="1" x14ac:dyDescent="0.2">
      <c r="A40" s="80" t="str">
        <f>+O16</f>
        <v>ander kaliumhoudend zout*</v>
      </c>
      <c r="B40" s="82">
        <f>IF((B$7&gt;32),0,G43)</f>
        <v>0</v>
      </c>
      <c r="C40" s="123"/>
      <c r="D40" s="123"/>
      <c r="E40" s="123"/>
      <c r="F40" s="9">
        <f>(B11/1000*G40)</f>
        <v>0</v>
      </c>
      <c r="G40" s="37">
        <f>IF((B5=0),0,(I46))</f>
        <v>0</v>
      </c>
      <c r="H40" s="65" t="s">
        <v>81</v>
      </c>
      <c r="I40" s="66">
        <f>I39*(B7/100)</f>
        <v>0</v>
      </c>
      <c r="M40" s="11">
        <f>IF((S41=0),0,(S41))</f>
        <v>0</v>
      </c>
      <c r="N40" s="11">
        <f>G40*0.006</f>
        <v>0</v>
      </c>
      <c r="P40" s="9"/>
      <c r="Q40" s="2" t="s">
        <v>53</v>
      </c>
      <c r="R40" s="22">
        <f>M41+S41</f>
        <v>0</v>
      </c>
      <c r="T40" s="2" t="s">
        <v>57</v>
      </c>
      <c r="U40" s="10">
        <f>+B$7/100</f>
        <v>0</v>
      </c>
      <c r="W40" s="48"/>
      <c r="X40" s="45"/>
    </row>
    <row r="41" spans="1:28" ht="12.75" hidden="1" customHeight="1" x14ac:dyDescent="0.2">
      <c r="A41" s="80" t="s">
        <v>54</v>
      </c>
      <c r="B41" s="81">
        <f>(B4*B5)+(B4*B6)</f>
        <v>0</v>
      </c>
      <c r="C41" s="83"/>
      <c r="D41" s="83"/>
      <c r="E41" s="83"/>
      <c r="F41" s="9">
        <f>(B12/1000*G41)</f>
        <v>0</v>
      </c>
      <c r="G41" s="37">
        <f>IF((B5=0),0,(I45))</f>
        <v>0</v>
      </c>
      <c r="H41" s="65" t="s">
        <v>79</v>
      </c>
      <c r="I41" s="66">
        <f>I39-I40</f>
        <v>0</v>
      </c>
      <c r="M41" s="6">
        <f>((R38/160*R39)*100)</f>
        <v>0</v>
      </c>
      <c r="N41" s="11">
        <f>M41*0.03</f>
        <v>0</v>
      </c>
      <c r="P41" s="9"/>
      <c r="R41" s="22"/>
      <c r="S41" s="13">
        <f>((R$42-R$43)/S$43)*R$38</f>
        <v>0</v>
      </c>
      <c r="T41" s="2" t="s">
        <v>33</v>
      </c>
      <c r="U41" s="22">
        <f>U39-(U39*U40)</f>
        <v>0</v>
      </c>
      <c r="W41" s="42" t="e">
        <f>W25-X25</f>
        <v>#DIV/0!</v>
      </c>
      <c r="X41" s="43"/>
    </row>
    <row r="42" spans="1:28" ht="12.75" hidden="1" customHeight="1" x14ac:dyDescent="0.2">
      <c r="A42" s="97" t="str">
        <f>IF((M43&gt;0),(A17),"")</f>
        <v/>
      </c>
      <c r="B42" s="96">
        <f>(SUM(B38:B40)-B41)</f>
        <v>0</v>
      </c>
      <c r="C42" s="99"/>
      <c r="D42" s="99"/>
      <c r="E42" s="99"/>
      <c r="F42" s="9">
        <f>(B13/1000*G42)</f>
        <v>0</v>
      </c>
      <c r="G42" s="37">
        <f>IF(((B5+B6)=0),0,(I44))</f>
        <v>0</v>
      </c>
      <c r="H42" s="65" t="s">
        <v>80</v>
      </c>
      <c r="I42" s="67">
        <f>(B5*B4*0.006)</f>
        <v>0</v>
      </c>
      <c r="M42" s="6">
        <f>U41</f>
        <v>0</v>
      </c>
      <c r="N42" s="11">
        <f>M42*0</f>
        <v>0</v>
      </c>
      <c r="P42" s="9"/>
      <c r="Q42" s="2" t="s">
        <v>55</v>
      </c>
      <c r="R42" s="11">
        <f>(B$4*B$5)*0.006</f>
        <v>0</v>
      </c>
      <c r="S42" s="13"/>
      <c r="V42" s="4">
        <f>U39-M42</f>
        <v>0</v>
      </c>
      <c r="W42" s="46"/>
      <c r="X42" s="47" t="e">
        <f>X26*0.6</f>
        <v>#DIV/0!</v>
      </c>
    </row>
    <row r="43" spans="1:28" ht="12.75" hidden="1" customHeight="1" x14ac:dyDescent="0.2">
      <c r="A43" s="97"/>
      <c r="B43" s="98"/>
      <c r="C43" s="99"/>
      <c r="D43" s="99"/>
      <c r="E43" s="99"/>
      <c r="F43" s="12">
        <f>(B16/1000*G43)</f>
        <v>0</v>
      </c>
      <c r="G43" s="38">
        <f>IF(((B5+B6)=0),0,(I43))</f>
        <v>0</v>
      </c>
      <c r="H43" s="65" t="s">
        <v>82</v>
      </c>
      <c r="I43" s="69">
        <f>(I40/0.4)</f>
        <v>0</v>
      </c>
      <c r="M43" s="34">
        <f>S44+V42</f>
        <v>0</v>
      </c>
      <c r="N43" s="24">
        <f>M43*0</f>
        <v>0</v>
      </c>
      <c r="P43" s="21"/>
      <c r="Q43" s="2" t="s">
        <v>58</v>
      </c>
      <c r="R43" s="22">
        <f>(M41*3%)+(W42*0.6%)</f>
        <v>0</v>
      </c>
      <c r="S43" s="3">
        <f>IF((R42=0),1,R42)</f>
        <v>1</v>
      </c>
      <c r="T43" s="2" t="s">
        <v>55</v>
      </c>
      <c r="U43" s="11">
        <f>(B$4*B$5)*0.006</f>
        <v>0</v>
      </c>
      <c r="V43" s="3">
        <f>IF((M$40&lt;0),(M$38),(M42))</f>
        <v>0</v>
      </c>
      <c r="W43" s="43"/>
      <c r="X43" s="47" t="e">
        <f>X38</f>
        <v>#DIV/0!</v>
      </c>
    </row>
    <row r="44" spans="1:28" hidden="1" x14ac:dyDescent="0.2">
      <c r="A44" s="106" t="s">
        <v>96</v>
      </c>
      <c r="B44" s="101"/>
      <c r="C44" s="100"/>
      <c r="D44" s="100"/>
      <c r="E44" s="102"/>
      <c r="F44" s="9">
        <f>SUM(F40:F43)</f>
        <v>0</v>
      </c>
      <c r="G44" s="9"/>
      <c r="H44" s="65" t="s">
        <v>33</v>
      </c>
      <c r="I44" s="66">
        <f>IF(((I39-(I43+I45))&lt;0),0,((I39-(I43+I45))))</f>
        <v>0</v>
      </c>
      <c r="J44" s="56"/>
      <c r="K44" s="56"/>
      <c r="L44" s="56"/>
      <c r="M44" s="13">
        <f>(B4*B5)+(B4*B6)</f>
        <v>0</v>
      </c>
      <c r="N44" s="11">
        <f>SUM(N40:N43)</f>
        <v>0</v>
      </c>
      <c r="P44" s="9"/>
      <c r="Q44" s="3"/>
      <c r="S44" s="4">
        <f>(R$38)-R$40</f>
        <v>0</v>
      </c>
      <c r="T44" s="2" t="s">
        <v>58</v>
      </c>
      <c r="U44" s="35">
        <f>(M41*3%)+(G40*0.6%)</f>
        <v>0</v>
      </c>
      <c r="W44" s="43"/>
      <c r="X44" s="47" t="e">
        <f>X43+X42</f>
        <v>#DIV/0!</v>
      </c>
    </row>
    <row r="45" spans="1:28" hidden="1" x14ac:dyDescent="0.2">
      <c r="A45" s="84" t="s">
        <v>93</v>
      </c>
      <c r="B45" s="85">
        <f>(B37*0.006)+(B38*0.03)</f>
        <v>0</v>
      </c>
      <c r="C45" s="80" t="s">
        <v>39</v>
      </c>
      <c r="D45" s="80" t="str">
        <f>"(doel: "&amp;(I$5)&amp;" gram)"</f>
        <v>(doel: 0 gram)</v>
      </c>
      <c r="E45" s="86"/>
      <c r="F45" s="1">
        <f>IF((M$40&lt;0),(M$38),(M44))</f>
        <v>0</v>
      </c>
      <c r="G45" s="1"/>
      <c r="H45" s="65" t="s">
        <v>83</v>
      </c>
      <c r="I45" s="67">
        <f>((I42*1)/0.03)</f>
        <v>0</v>
      </c>
      <c r="M45" s="1" t="e">
        <f>IF((B5=0),(X38),(X25))</f>
        <v>#DIV/0!</v>
      </c>
      <c r="N45" s="52"/>
      <c r="S45" s="10"/>
      <c r="T45" s="6"/>
      <c r="U45" s="6">
        <f>(B4*B6)</f>
        <v>0</v>
      </c>
      <c r="W45" s="43"/>
      <c r="X45" s="49" t="e">
        <f>1-(X44/W25)</f>
        <v>#DIV/0!</v>
      </c>
    </row>
    <row r="46" spans="1:28" hidden="1" x14ac:dyDescent="0.2">
      <c r="A46" s="84" t="s">
        <v>94</v>
      </c>
      <c r="B46" s="85">
        <f>B37+B38+B39+(B40*0.6)</f>
        <v>0</v>
      </c>
      <c r="C46" s="80" t="s">
        <v>39</v>
      </c>
      <c r="D46" s="87" t="str">
        <f>IF((B46=0),"",(G49))</f>
        <v/>
      </c>
      <c r="E46" s="86" t="str">
        <f>IF((B46=0),"","van "&amp;B$24&amp;" gram")</f>
        <v/>
      </c>
      <c r="F46" s="1"/>
      <c r="G46" s="1"/>
      <c r="H46" s="65" t="s">
        <v>84</v>
      </c>
      <c r="I46" s="67">
        <f>((I42*0)/0.006)</f>
        <v>0</v>
      </c>
      <c r="N46" s="52"/>
      <c r="S46" s="10"/>
      <c r="T46" s="6"/>
      <c r="U46" s="6"/>
      <c r="W46" s="43"/>
      <c r="X46" s="49"/>
    </row>
    <row r="47" spans="1:28" hidden="1" x14ac:dyDescent="0.2">
      <c r="A47" s="84" t="s">
        <v>95</v>
      </c>
      <c r="B47" s="85">
        <f>B40*0.4</f>
        <v>0</v>
      </c>
      <c r="C47" s="80" t="s">
        <v>39</v>
      </c>
      <c r="D47" s="87" t="str">
        <f>IF((B47=0),"",(G50))</f>
        <v/>
      </c>
      <c r="E47" s="86" t="str">
        <f>IF((B47=0),"","van "&amp;B$24&amp;" gram")</f>
        <v/>
      </c>
      <c r="F47" s="1"/>
      <c r="G47" s="1"/>
      <c r="H47" s="1"/>
      <c r="I47" s="1"/>
      <c r="J47" s="1"/>
      <c r="N47" s="52"/>
      <c r="S47" s="10"/>
      <c r="T47" s="6"/>
      <c r="U47" s="6"/>
      <c r="W47" s="43"/>
      <c r="X47" s="49"/>
    </row>
    <row r="48" spans="1:28" hidden="1" x14ac:dyDescent="0.2">
      <c r="A48" s="25"/>
      <c r="B48" s="60"/>
      <c r="C48" s="50"/>
      <c r="D48" s="50"/>
      <c r="E48" s="50"/>
      <c r="F48" s="1"/>
      <c r="G48" s="1"/>
      <c r="H48" s="1"/>
      <c r="I48" s="1"/>
      <c r="J48" s="1"/>
      <c r="N48" s="52"/>
      <c r="S48" s="10"/>
      <c r="T48" s="6"/>
      <c r="U48" s="6"/>
      <c r="W48" s="43"/>
      <c r="X48" s="49"/>
    </row>
    <row r="49" spans="1:29" hidden="1" x14ac:dyDescent="0.2">
      <c r="A49" s="103" t="s">
        <v>98</v>
      </c>
      <c r="B49" s="104" t="s">
        <v>43</v>
      </c>
      <c r="C49" s="102" t="s">
        <v>42</v>
      </c>
      <c r="D49" s="102"/>
      <c r="E49" s="105"/>
      <c r="F49" s="1"/>
      <c r="G49" s="70" t="e">
        <f>B46/B41</f>
        <v>#DIV/0!</v>
      </c>
      <c r="H49" s="1"/>
      <c r="I49" s="1"/>
      <c r="J49" s="1"/>
      <c r="N49" s="52"/>
      <c r="S49" s="10"/>
      <c r="T49" s="6"/>
      <c r="U49" s="6"/>
      <c r="W49" s="43"/>
      <c r="X49" s="49"/>
    </row>
    <row r="50" spans="1:29" hidden="1" x14ac:dyDescent="0.2">
      <c r="A50" s="119" t="str">
        <f>IF((M$40&lt;0),(M$39),(N63))</f>
        <v/>
      </c>
      <c r="B50" s="27">
        <f>IF((M$40&lt;0),"n.v.t.",(F44))</f>
        <v>0</v>
      </c>
      <c r="C50" s="121" t="str">
        <f>IF((M$40&lt;0),"","charge")</f>
        <v>charge</v>
      </c>
      <c r="D50" s="121"/>
      <c r="E50" s="121"/>
      <c r="F50" s="1"/>
      <c r="G50" s="70" t="e">
        <f>B47/B41</f>
        <v>#DIV/0!</v>
      </c>
      <c r="H50" s="1"/>
      <c r="I50" s="1"/>
      <c r="J50" s="1"/>
      <c r="N50" s="52"/>
      <c r="S50" s="10"/>
      <c r="T50" s="6"/>
      <c r="U50" s="6"/>
      <c r="W50" s="43"/>
      <c r="X50" s="49"/>
    </row>
    <row r="51" spans="1:29" hidden="1" x14ac:dyDescent="0.2">
      <c r="A51" s="119"/>
      <c r="B51" s="28" t="e">
        <f>IF((M$40&lt;0),"",(B50/B$4))</f>
        <v>#DIV/0!</v>
      </c>
      <c r="C51" s="121" t="str">
        <f>IF((M$40&lt;0),"",(C33))</f>
        <v>kg. eindproduct</v>
      </c>
      <c r="D51" s="121"/>
      <c r="E51" s="121"/>
      <c r="F51" s="1"/>
      <c r="G51" s="1"/>
      <c r="H51" s="1"/>
      <c r="I51" s="1"/>
      <c r="J51" s="1"/>
      <c r="N51" s="52"/>
      <c r="S51" s="10"/>
      <c r="T51" s="6"/>
      <c r="U51" s="6"/>
      <c r="W51" s="43"/>
      <c r="X51" s="49"/>
    </row>
    <row r="52" spans="1:29" hidden="1" x14ac:dyDescent="0.2">
      <c r="A52" s="25" t="str">
        <f>IF((M43&gt;0),(A17),"")</f>
        <v/>
      </c>
      <c r="F52" s="1"/>
      <c r="G52" s="1"/>
      <c r="H52" s="1"/>
      <c r="I52" s="1"/>
      <c r="J52" s="1"/>
      <c r="N52" s="52"/>
      <c r="S52" s="10"/>
      <c r="T52" s="6"/>
      <c r="U52" s="6"/>
      <c r="W52" s="43"/>
      <c r="X52" s="49"/>
    </row>
    <row r="53" spans="1:29" hidden="1" x14ac:dyDescent="0.2"/>
    <row r="54" spans="1:29" hidden="1" x14ac:dyDescent="0.2"/>
    <row r="55" spans="1:29" hidden="1" x14ac:dyDescent="0.2"/>
    <row r="56" spans="1:29" hidden="1" x14ac:dyDescent="0.2">
      <c r="O56" s="26"/>
      <c r="Q56" s="1"/>
      <c r="R56" s="1"/>
      <c r="S56" s="1"/>
      <c r="T56" s="1"/>
      <c r="U56" s="39">
        <f>U45-U34</f>
        <v>0</v>
      </c>
      <c r="Y56" s="6"/>
      <c r="Z56" s="3"/>
      <c r="AA56" s="3"/>
      <c r="AB56" s="11"/>
    </row>
    <row r="57" spans="1:29" hidden="1" x14ac:dyDescent="0.2">
      <c r="N57" s="1" t="str">
        <f>IF((O8&gt;1),"combinatie","")</f>
        <v/>
      </c>
      <c r="O57" s="1" t="str">
        <f>IF((O5&gt;0),(O11),"")</f>
        <v/>
      </c>
      <c r="P57" s="1" t="str">
        <f>IF(AND(O7&gt;0,O5&gt;0),(O14),"")</f>
        <v/>
      </c>
      <c r="Q57" s="1"/>
      <c r="R57" s="1"/>
      <c r="S57" s="1">
        <v>1000</v>
      </c>
      <c r="T57" s="1"/>
      <c r="U57" s="11" t="e">
        <f>U56/(G42+(G43*0.6))</f>
        <v>#DIV/0!</v>
      </c>
      <c r="Y57" s="6"/>
      <c r="Z57" s="6"/>
      <c r="AA57" s="3"/>
      <c r="AB57" s="3"/>
      <c r="AC57" s="11"/>
    </row>
    <row r="58" spans="1:29" ht="12.75" hidden="1" customHeight="1" x14ac:dyDescent="0.2">
      <c r="N58" s="1" t="str">
        <f>IF((N57="combinatie")," en ","")</f>
        <v/>
      </c>
      <c r="O58" s="1" t="str">
        <f>IF((O6&gt;0),(O13),"")</f>
        <v/>
      </c>
      <c r="P58" s="1" t="str">
        <f>IF(AND(O6&gt;0,O7&gt;0),(O15),"")</f>
        <v/>
      </c>
      <c r="Q58" s="1"/>
      <c r="R58" s="1"/>
      <c r="S58" s="1">
        <f>100</f>
        <v>100</v>
      </c>
      <c r="T58" s="1"/>
      <c r="Y58" s="6"/>
      <c r="Z58" s="6"/>
      <c r="AA58" s="3"/>
      <c r="AB58" s="3"/>
      <c r="AC58" s="11"/>
    </row>
    <row r="59" spans="1:29" hidden="1" x14ac:dyDescent="0.2">
      <c r="Q59" s="1"/>
      <c r="R59" s="1"/>
      <c r="S59" s="1"/>
      <c r="T59" s="1"/>
      <c r="U59" s="125"/>
      <c r="Y59" s="3"/>
      <c r="Z59" s="3"/>
      <c r="AA59" s="3"/>
      <c r="AB59" s="3"/>
      <c r="AC59" s="11"/>
    </row>
    <row r="60" spans="1:29" hidden="1" x14ac:dyDescent="0.2">
      <c r="Q60" s="1"/>
      <c r="R60" s="1"/>
      <c r="S60" s="1"/>
      <c r="T60" s="1"/>
      <c r="U60" s="125"/>
      <c r="V60" s="17"/>
      <c r="W60" s="18"/>
      <c r="X60" s="18"/>
      <c r="Y60" s="3"/>
      <c r="Z60" s="3"/>
      <c r="AA60" s="3"/>
      <c r="AB60" s="3"/>
      <c r="AC60" s="11"/>
    </row>
    <row r="61" spans="1:29" hidden="1" x14ac:dyDescent="0.2">
      <c r="F61" s="57"/>
      <c r="G61" s="57"/>
      <c r="H61" s="57"/>
      <c r="I61" s="57"/>
      <c r="J61" s="57"/>
      <c r="K61" s="57"/>
      <c r="L61" s="57"/>
      <c r="N61" s="1" t="str">
        <f>IF((O8&gt;1),"combinatie","")</f>
        <v/>
      </c>
      <c r="O61" s="26" t="str">
        <f>IF((O5&gt;0),(O11),"")</f>
        <v/>
      </c>
      <c r="P61" s="1" t="str">
        <f>IF((O5&gt;0),(O12),"")</f>
        <v/>
      </c>
      <c r="Q61" s="1"/>
      <c r="R61" s="1"/>
      <c r="S61" s="1"/>
      <c r="T61" s="1"/>
      <c r="U61" s="125"/>
      <c r="V61" s="17"/>
      <c r="W61" s="18"/>
      <c r="X61" s="18"/>
      <c r="Y61" s="3"/>
      <c r="Z61" s="3"/>
      <c r="AA61" s="3"/>
      <c r="AB61" s="3"/>
      <c r="AC61" s="11"/>
    </row>
    <row r="62" spans="1:29" hidden="1" x14ac:dyDescent="0.2">
      <c r="F62" s="57"/>
      <c r="G62" s="57"/>
      <c r="H62" s="57"/>
      <c r="I62" s="57"/>
      <c r="J62" s="57"/>
      <c r="K62" s="57"/>
      <c r="L62" s="57"/>
      <c r="N62" s="1" t="str">
        <f>IF((N61="combinatie")," en ","")</f>
        <v/>
      </c>
      <c r="O62" s="26" t="str">
        <f>IF((O6&gt;0),(O13),"")</f>
        <v/>
      </c>
      <c r="P62" s="1" t="str">
        <f>IF(AND(O12&gt;0,O13&gt;0),(S62),"")</f>
        <v/>
      </c>
      <c r="Q62" s="1"/>
      <c r="R62" s="1"/>
      <c r="S62" s="1" t="str">
        <f>IF((B7&gt;0),(O16),"")</f>
        <v/>
      </c>
      <c r="T62" s="1"/>
      <c r="U62" s="125"/>
      <c r="V62" s="17"/>
      <c r="W62" s="18"/>
      <c r="X62" s="18"/>
      <c r="Y62" s="3"/>
      <c r="Z62" s="3"/>
      <c r="AA62" s="3"/>
      <c r="AB62" s="3"/>
      <c r="AC62" s="11"/>
    </row>
    <row r="63" spans="1:29" hidden="1" x14ac:dyDescent="0.2">
      <c r="N63" s="1" t="str">
        <f>IF(AND(B6="",B7=""),(S63),((N61)&amp;" "&amp;(O61)&amp;" "&amp;(O62)&amp;" "&amp;(P61)&amp;(N62)&amp;(P62)))</f>
        <v/>
      </c>
      <c r="Q63" s="1"/>
      <c r="R63" s="1"/>
      <c r="S63" s="1" t="str">
        <f>IF((B7&gt;0),(B11),"")</f>
        <v/>
      </c>
      <c r="T63" s="1"/>
      <c r="W63" s="18"/>
      <c r="X63" s="18"/>
      <c r="Y63" s="3"/>
      <c r="Z63" s="3"/>
      <c r="AA63" s="3"/>
      <c r="AB63" s="3"/>
      <c r="AC63" s="11"/>
    </row>
    <row r="64" spans="1:29" hidden="1" x14ac:dyDescent="0.2">
      <c r="Q64" s="1"/>
      <c r="R64" s="1"/>
      <c r="S64" s="1"/>
      <c r="X64" s="3"/>
      <c r="Y64" s="3"/>
      <c r="Z64" s="3"/>
      <c r="AA64" s="3"/>
    </row>
    <row r="65" spans="14:18" hidden="1" x14ac:dyDescent="0.2">
      <c r="Q65" s="1"/>
      <c r="R65" s="3" t="s">
        <v>79</v>
      </c>
    </row>
    <row r="66" spans="14:18" hidden="1" x14ac:dyDescent="0.2">
      <c r="N66" s="39">
        <f>+B41</f>
        <v>0</v>
      </c>
      <c r="P66" s="1" t="s">
        <v>77</v>
      </c>
      <c r="Q66" s="1">
        <v>375</v>
      </c>
      <c r="R66" s="11">
        <f>Q66*1</f>
        <v>375</v>
      </c>
    </row>
    <row r="67" spans="14:18" hidden="1" x14ac:dyDescent="0.2">
      <c r="N67" s="39">
        <f>N66-(N66*B7*0.01)</f>
        <v>0</v>
      </c>
      <c r="O67" s="1">
        <f>N67-Q66</f>
        <v>-375</v>
      </c>
      <c r="P67" s="1" t="s">
        <v>78</v>
      </c>
      <c r="Q67" s="3">
        <f>O67/0.6</f>
        <v>-625</v>
      </c>
      <c r="R67" s="11">
        <f>Q67*0.6</f>
        <v>-375</v>
      </c>
    </row>
    <row r="68" spans="14:18" hidden="1" x14ac:dyDescent="0.2">
      <c r="Q68" s="3">
        <f>Q67+Q66</f>
        <v>-250</v>
      </c>
      <c r="R68" s="11">
        <f>SUM(R66:R67)</f>
        <v>0</v>
      </c>
    </row>
    <row r="69" spans="14:18" ht="20.100000000000001" hidden="1" customHeight="1" x14ac:dyDescent="0.2">
      <c r="Q69" s="3"/>
      <c r="R69" s="10"/>
    </row>
    <row r="70" spans="14:18" ht="20.100000000000001" hidden="1" customHeight="1" x14ac:dyDescent="0.2">
      <c r="O70" s="26" t="s">
        <v>74</v>
      </c>
      <c r="Q70" s="3"/>
      <c r="R70" s="10"/>
    </row>
    <row r="71" spans="14:18" ht="20.100000000000001" hidden="1" customHeight="1" x14ac:dyDescent="0.2">
      <c r="O71" s="26" t="s">
        <v>73</v>
      </c>
      <c r="Q71" s="3"/>
    </row>
    <row r="72" spans="14:18" ht="20.100000000000001" hidden="1" customHeight="1" x14ac:dyDescent="0.2">
      <c r="Q72" s="3"/>
    </row>
    <row r="73" spans="14:18" ht="20.100000000000001" hidden="1" customHeight="1" x14ac:dyDescent="0.2">
      <c r="Q73" s="3"/>
    </row>
    <row r="74" spans="14:18" hidden="1" x14ac:dyDescent="0.2"/>
    <row r="75" spans="14:18" hidden="1" x14ac:dyDescent="0.2"/>
    <row r="76" spans="14:18" hidden="1" x14ac:dyDescent="0.2"/>
    <row r="77" spans="14:18" hidden="1" x14ac:dyDescent="0.2"/>
    <row r="78" spans="14:18" hidden="1" x14ac:dyDescent="0.2">
      <c r="N78" s="1" t="s">
        <v>33</v>
      </c>
      <c r="O78" s="1" t="s">
        <v>57</v>
      </c>
    </row>
    <row r="79" spans="14:18" hidden="1" x14ac:dyDescent="0.2">
      <c r="N79" s="1">
        <v>1000</v>
      </c>
      <c r="O79" s="10">
        <v>0.1</v>
      </c>
    </row>
    <row r="80" spans="14:18" hidden="1" x14ac:dyDescent="0.2">
      <c r="N80" s="1">
        <f>+N79</f>
        <v>1000</v>
      </c>
      <c r="O80" s="10">
        <v>0.2</v>
      </c>
    </row>
    <row r="81" spans="14:15" hidden="1" x14ac:dyDescent="0.2">
      <c r="N81" s="1">
        <f t="shared" ref="N81:N90" si="2">+N80</f>
        <v>1000</v>
      </c>
      <c r="O81" s="10">
        <v>0.3</v>
      </c>
    </row>
    <row r="82" spans="14:15" hidden="1" x14ac:dyDescent="0.2">
      <c r="N82" s="1">
        <f t="shared" si="2"/>
        <v>1000</v>
      </c>
      <c r="O82" s="10">
        <v>0.32</v>
      </c>
    </row>
    <row r="83" spans="14:15" hidden="1" x14ac:dyDescent="0.2">
      <c r="N83" s="1">
        <f t="shared" si="2"/>
        <v>1000</v>
      </c>
      <c r="O83" s="10">
        <v>3.1</v>
      </c>
    </row>
    <row r="84" spans="14:15" hidden="1" x14ac:dyDescent="0.2">
      <c r="N84" s="1">
        <f t="shared" si="2"/>
        <v>1000</v>
      </c>
      <c r="O84" s="10">
        <v>4.0999999999999996</v>
      </c>
    </row>
    <row r="85" spans="14:15" hidden="1" x14ac:dyDescent="0.2">
      <c r="N85" s="1">
        <f t="shared" si="2"/>
        <v>1000</v>
      </c>
      <c r="O85" s="10">
        <v>5.0999999999999996</v>
      </c>
    </row>
    <row r="86" spans="14:15" hidden="1" x14ac:dyDescent="0.2">
      <c r="N86" s="1">
        <f t="shared" si="2"/>
        <v>1000</v>
      </c>
      <c r="O86" s="10">
        <v>6.1</v>
      </c>
    </row>
    <row r="87" spans="14:15" hidden="1" x14ac:dyDescent="0.2">
      <c r="N87" s="1">
        <f t="shared" si="2"/>
        <v>1000</v>
      </c>
      <c r="O87" s="10">
        <v>7.1</v>
      </c>
    </row>
    <row r="88" spans="14:15" hidden="1" x14ac:dyDescent="0.2">
      <c r="N88" s="1">
        <f t="shared" si="2"/>
        <v>1000</v>
      </c>
      <c r="O88" s="10">
        <v>8.1</v>
      </c>
    </row>
    <row r="89" spans="14:15" hidden="1" x14ac:dyDescent="0.2">
      <c r="N89" s="1">
        <f t="shared" si="2"/>
        <v>1000</v>
      </c>
      <c r="O89" s="10">
        <v>9.1</v>
      </c>
    </row>
    <row r="90" spans="14:15" hidden="1" x14ac:dyDescent="0.2">
      <c r="N90" s="1">
        <f t="shared" si="2"/>
        <v>1000</v>
      </c>
      <c r="O90" s="10">
        <v>10.1</v>
      </c>
    </row>
    <row r="91" spans="14:15" hidden="1" x14ac:dyDescent="0.2"/>
    <row r="92" spans="14:15" hidden="1" x14ac:dyDescent="0.2"/>
    <row r="93" spans="14:15" hidden="1" x14ac:dyDescent="0.2"/>
    <row r="94" spans="14:15" hidden="1" x14ac:dyDescent="0.2"/>
  </sheetData>
  <sheetProtection password="DA2D" sheet="1" objects="1" scenarios="1"/>
  <mergeCells count="30">
    <mergeCell ref="B7:B8"/>
    <mergeCell ref="C16:E16"/>
    <mergeCell ref="C12:E12"/>
    <mergeCell ref="C7:E8"/>
    <mergeCell ref="U59:U62"/>
    <mergeCell ref="A50:A51"/>
    <mergeCell ref="A19:E19"/>
    <mergeCell ref="C50:E50"/>
    <mergeCell ref="C51:E51"/>
    <mergeCell ref="C20:E20"/>
    <mergeCell ref="C23:E23"/>
    <mergeCell ref="A36:E36"/>
    <mergeCell ref="C24:E24"/>
    <mergeCell ref="C37:E40"/>
    <mergeCell ref="A1:D1"/>
    <mergeCell ref="B3:D3"/>
    <mergeCell ref="E1:E3"/>
    <mergeCell ref="A2:D2"/>
    <mergeCell ref="A32:A33"/>
    <mergeCell ref="C6:E6"/>
    <mergeCell ref="C21:E21"/>
    <mergeCell ref="C22:E22"/>
    <mergeCell ref="A5:A6"/>
    <mergeCell ref="C11:E11"/>
    <mergeCell ref="C14:E14"/>
    <mergeCell ref="C13:E13"/>
    <mergeCell ref="A7:A8"/>
    <mergeCell ref="C4:E4"/>
    <mergeCell ref="C5:E5"/>
    <mergeCell ref="C15:E15"/>
  </mergeCells>
  <conditionalFormatting sqref="H45:I45 H42:I42 J43:L43 C41:E41 C37">
    <cfRule type="cellIs" dxfId="2" priority="3" operator="equal">
      <formula>"met ""ander kaliumhoudend zout"" is deze reductie niet mogelijk"</formula>
    </cfRule>
  </conditionalFormatting>
  <conditionalFormatting sqref="H30 H26">
    <cfRule type="cellIs" dxfId="1" priority="2" operator="equal">
      <formula>"met ""ander kaliumhoudend zout"" is deze reductie niet mogelijk"</formula>
    </cfRule>
  </conditionalFormatting>
  <conditionalFormatting sqref="I46">
    <cfRule type="cellIs" dxfId="0" priority="1" operator="equal">
      <formula>"met ""ander kaliumhoudend zout"" is deze reductie niet mogelijk"</formula>
    </cfRule>
  </conditionalFormatting>
  <pageMargins left="0.7" right="0.7" top="0.75" bottom="0.75" header="0.3" footer="0.3"/>
  <pageSetup paperSize="9" scale="83" orientation="portrait" horizontalDpi="4294967293" verticalDpi="0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opLeftCell="XFD1048576" workbookViewId="0">
      <selection sqref="A1:XFD1048576"/>
    </sheetView>
  </sheetViews>
  <sheetFormatPr defaultColWidth="0" defaultRowHeight="12.75" zeroHeight="1" x14ac:dyDescent="0.2"/>
  <cols>
    <col min="1" max="1" width="10.5" style="126" hidden="1"/>
    <col min="2" max="3" width="12.25" style="126" hidden="1"/>
    <col min="4" max="4" width="27.25" style="126" hidden="1"/>
    <col min="5" max="21" width="13.75" style="126" hidden="1"/>
    <col min="22" max="16384" width="9" style="126" hidden="1"/>
  </cols>
  <sheetData>
    <row r="1" spans="1:21" hidden="1" x14ac:dyDescent="0.2">
      <c r="A1" s="126" t="s">
        <v>52</v>
      </c>
    </row>
    <row r="2" spans="1:21" ht="12.75" hidden="1" customHeight="1" x14ac:dyDescent="0.2">
      <c r="A2" s="126" t="s">
        <v>100</v>
      </c>
      <c r="D2" s="127" t="s">
        <v>27</v>
      </c>
      <c r="E2" s="127"/>
      <c r="F2" s="127"/>
      <c r="G2" s="127"/>
      <c r="H2" s="127" t="s">
        <v>28</v>
      </c>
      <c r="I2" s="127"/>
      <c r="J2" s="127"/>
      <c r="K2" s="127"/>
      <c r="L2" s="127"/>
      <c r="M2" s="127"/>
      <c r="N2" s="127"/>
      <c r="O2" s="127" t="str">
        <f>"combinatie "&amp;(A1)&amp;" en Colorozo 0.6"</f>
        <v>combinatie Kolosel 600 en Colorozo 0.6</v>
      </c>
      <c r="P2" s="127"/>
      <c r="Q2" s="127"/>
      <c r="R2" s="127"/>
      <c r="S2" s="127"/>
      <c r="T2" s="127"/>
      <c r="U2" s="127"/>
    </row>
    <row r="3" spans="1:21" ht="12.75" hidden="1" customHeight="1" x14ac:dyDescent="0.2">
      <c r="A3" s="126" t="s">
        <v>36</v>
      </c>
      <c r="D3" s="126" t="s">
        <v>24</v>
      </c>
      <c r="E3" s="128"/>
      <c r="F3" s="128"/>
      <c r="G3" s="128"/>
      <c r="H3" s="127" t="s">
        <v>24</v>
      </c>
      <c r="I3" s="127"/>
      <c r="J3" s="127"/>
      <c r="K3" s="127"/>
      <c r="L3" s="127"/>
      <c r="M3" s="127"/>
      <c r="N3" s="127"/>
      <c r="O3" s="127" t="s">
        <v>24</v>
      </c>
      <c r="P3" s="127"/>
      <c r="Q3" s="127"/>
      <c r="R3" s="127"/>
      <c r="S3" s="127"/>
      <c r="T3" s="127"/>
      <c r="U3" s="127"/>
    </row>
    <row r="4" spans="1:21" s="131" customFormat="1" ht="51" hidden="1" x14ac:dyDescent="0.2">
      <c r="A4" s="129" t="s">
        <v>32</v>
      </c>
      <c r="B4" s="130" t="s">
        <v>6</v>
      </c>
      <c r="C4" s="130" t="s">
        <v>23</v>
      </c>
      <c r="D4" s="130" t="s">
        <v>3</v>
      </c>
      <c r="E4" s="130" t="s">
        <v>31</v>
      </c>
      <c r="F4" s="130" t="s">
        <v>25</v>
      </c>
      <c r="G4" s="130" t="s">
        <v>35</v>
      </c>
      <c r="H4" s="130" t="str">
        <f>+D4</f>
        <v>colorozo 0.6 (gram)</v>
      </c>
      <c r="I4" s="130" t="s">
        <v>5</v>
      </c>
      <c r="J4" s="130" t="s">
        <v>4</v>
      </c>
      <c r="K4" s="130" t="str">
        <f>+E4</f>
        <v>nitriet-gehalte %</v>
      </c>
      <c r="L4" s="130" t="s">
        <v>30</v>
      </c>
      <c r="M4" s="130" t="s">
        <v>25</v>
      </c>
      <c r="N4" s="130" t="str">
        <f>+G4</f>
        <v>kosten zout per 100 kg. massa</v>
      </c>
      <c r="O4" s="130" t="str">
        <f>+H4</f>
        <v>colorozo 0.6 (gram)</v>
      </c>
      <c r="P4" s="130" t="str">
        <f>+I4</f>
        <v>Colorozo 3.0 (gram)</v>
      </c>
      <c r="Q4" s="130" t="str">
        <f>(A1)&amp;" (gram)"</f>
        <v>Kolosel 600 (gram)</v>
      </c>
      <c r="R4" s="130" t="str">
        <f>+K4</f>
        <v>nitriet-gehalte %</v>
      </c>
      <c r="S4" s="130" t="s">
        <v>30</v>
      </c>
      <c r="T4" s="130" t="s">
        <v>25</v>
      </c>
      <c r="U4" s="130" t="str">
        <f>+N4</f>
        <v>kosten zout per 100 kg. massa</v>
      </c>
    </row>
    <row r="5" spans="1:21" hidden="1" x14ac:dyDescent="0.2">
      <c r="A5" s="132">
        <v>100</v>
      </c>
      <c r="B5" s="133">
        <v>10</v>
      </c>
      <c r="C5" s="134">
        <f>B5*A5</f>
        <v>1000</v>
      </c>
      <c r="D5" s="134">
        <f>+C5</f>
        <v>1000</v>
      </c>
      <c r="E5" s="135">
        <f>(D5*0.6%)/(A5*100)</f>
        <v>5.9999999999999995E-4</v>
      </c>
      <c r="F5" s="136" t="s">
        <v>29</v>
      </c>
      <c r="G5" s="137">
        <f t="shared" ref="G5:G21" si="0">((C$25*D5)/10)/A5</f>
        <v>0.3</v>
      </c>
      <c r="H5" s="138">
        <v>0</v>
      </c>
      <c r="I5" s="132">
        <f>D5/5</f>
        <v>200</v>
      </c>
      <c r="J5" s="132">
        <f>D5-I5</f>
        <v>800</v>
      </c>
      <c r="K5" s="135">
        <f>(I5*3%)/(A5*100)</f>
        <v>5.9999999999999995E-4</v>
      </c>
      <c r="L5" s="139">
        <f>((I5+(J5*0.6))/A5)</f>
        <v>6.8</v>
      </c>
      <c r="M5" s="140">
        <f>1-(I5+(J5*0.6))/D5</f>
        <v>0.31999999999999995</v>
      </c>
      <c r="N5" s="141">
        <f t="shared" ref="N5:N21" si="1">(((I5*(C$27/10)+(J5*C$28/10))))/A5</f>
        <v>3.0924800000000001</v>
      </c>
      <c r="O5" s="142">
        <f>D5*(1-T5)</f>
        <v>679.99999999999989</v>
      </c>
      <c r="P5" s="138">
        <v>0</v>
      </c>
      <c r="Q5" s="142">
        <f t="shared" ref="Q5:Q21" si="2">D5-O5</f>
        <v>320.00000000000011</v>
      </c>
      <c r="R5" s="143">
        <f>((O5+Q5)*0.6%)/($A5*100)</f>
        <v>5.9999999999999995E-4</v>
      </c>
      <c r="S5" s="144">
        <f>O5/A5</f>
        <v>6.7999999999999989</v>
      </c>
      <c r="T5" s="140">
        <v>0.32</v>
      </c>
      <c r="U5" s="145">
        <f t="shared" ref="U5:U21" si="3">((O5/1000)*C$25)+((Q5/1000)*C$29)</f>
        <v>2.8956571428571443</v>
      </c>
    </row>
    <row r="6" spans="1:21" hidden="1" x14ac:dyDescent="0.2">
      <c r="A6" s="132">
        <v>100</v>
      </c>
      <c r="B6" s="133">
        <v>14</v>
      </c>
      <c r="C6" s="134">
        <f t="shared" ref="C6:C21" si="4">B6*A6</f>
        <v>1400</v>
      </c>
      <c r="D6" s="134">
        <f t="shared" ref="D6:D21" si="5">+C6</f>
        <v>1400</v>
      </c>
      <c r="E6" s="135">
        <f t="shared" ref="E6:E21" si="6">(D6*0.6%)/(A6*100)</f>
        <v>8.4000000000000003E-4</v>
      </c>
      <c r="F6" s="136" t="s">
        <v>29</v>
      </c>
      <c r="G6" s="137">
        <f t="shared" si="0"/>
        <v>0.42</v>
      </c>
      <c r="H6" s="138">
        <v>0</v>
      </c>
      <c r="I6" s="132">
        <f t="shared" ref="I6:I21" si="7">D6/5</f>
        <v>280</v>
      </c>
      <c r="J6" s="132">
        <f t="shared" ref="J6:J21" si="8">D6-I6</f>
        <v>1120</v>
      </c>
      <c r="K6" s="135">
        <f t="shared" ref="K6:K21" si="9">(I6*3%)/(A6*100)</f>
        <v>8.4000000000000003E-4</v>
      </c>
      <c r="L6" s="139">
        <f t="shared" ref="L6:L21" si="10">((I6+(J6*0.6))/A6)</f>
        <v>9.52</v>
      </c>
      <c r="M6" s="140">
        <f t="shared" ref="M6:M21" si="11">1-(I6+(J6*0.6))/D6</f>
        <v>0.31999999999999995</v>
      </c>
      <c r="N6" s="141">
        <f t="shared" si="1"/>
        <v>4.329472</v>
      </c>
      <c r="O6" s="142">
        <f t="shared" ref="O6:O21" si="12">D6*(1-T6)</f>
        <v>840</v>
      </c>
      <c r="P6" s="138">
        <v>0</v>
      </c>
      <c r="Q6" s="142">
        <f t="shared" si="2"/>
        <v>560</v>
      </c>
      <c r="R6" s="143">
        <f t="shared" ref="R6:R21" si="13">((O6+Q6)*0.6%)/(A6*100)</f>
        <v>8.4000000000000003E-4</v>
      </c>
      <c r="S6" s="144">
        <f t="shared" ref="S6:S21" si="14">O6/A6</f>
        <v>8.4</v>
      </c>
      <c r="T6" s="140">
        <v>0.4</v>
      </c>
      <c r="U6" s="145">
        <f t="shared" si="3"/>
        <v>4.9624000000000006</v>
      </c>
    </row>
    <row r="7" spans="1:21" hidden="1" x14ac:dyDescent="0.2">
      <c r="A7" s="132">
        <v>100</v>
      </c>
      <c r="B7" s="133">
        <f t="shared" ref="B7:B21" si="15">B6+1</f>
        <v>15</v>
      </c>
      <c r="C7" s="134">
        <f t="shared" si="4"/>
        <v>1500</v>
      </c>
      <c r="D7" s="134">
        <f t="shared" si="5"/>
        <v>1500</v>
      </c>
      <c r="E7" s="135">
        <f t="shared" si="6"/>
        <v>8.9999999999999998E-4</v>
      </c>
      <c r="F7" s="136" t="s">
        <v>29</v>
      </c>
      <c r="G7" s="137">
        <f t="shared" si="0"/>
        <v>0.45</v>
      </c>
      <c r="H7" s="138">
        <v>0</v>
      </c>
      <c r="I7" s="132">
        <f t="shared" si="7"/>
        <v>300</v>
      </c>
      <c r="J7" s="132">
        <f t="shared" si="8"/>
        <v>1200</v>
      </c>
      <c r="K7" s="135">
        <f t="shared" si="9"/>
        <v>8.9999999999999998E-4</v>
      </c>
      <c r="L7" s="139">
        <f t="shared" si="10"/>
        <v>10.199999999999999</v>
      </c>
      <c r="M7" s="140">
        <f t="shared" si="11"/>
        <v>0.31999999999999995</v>
      </c>
      <c r="N7" s="141">
        <f t="shared" si="1"/>
        <v>4.6387200000000002</v>
      </c>
      <c r="O7" s="142">
        <f t="shared" si="12"/>
        <v>1019.9999999999999</v>
      </c>
      <c r="P7" s="138">
        <v>0</v>
      </c>
      <c r="Q7" s="142">
        <f t="shared" si="2"/>
        <v>480.00000000000011</v>
      </c>
      <c r="R7" s="143">
        <f t="shared" si="13"/>
        <v>8.9999999999999998E-4</v>
      </c>
      <c r="S7" s="144">
        <f t="shared" si="14"/>
        <v>10.199999999999999</v>
      </c>
      <c r="T7" s="140">
        <v>0.32</v>
      </c>
      <c r="U7" s="145">
        <f t="shared" si="3"/>
        <v>4.3434857142857162</v>
      </c>
    </row>
    <row r="8" spans="1:21" hidden="1" x14ac:dyDescent="0.2">
      <c r="A8" s="132">
        <v>100</v>
      </c>
      <c r="B8" s="133">
        <f t="shared" si="15"/>
        <v>16</v>
      </c>
      <c r="C8" s="134">
        <f t="shared" si="4"/>
        <v>1600</v>
      </c>
      <c r="D8" s="134">
        <f t="shared" si="5"/>
        <v>1600</v>
      </c>
      <c r="E8" s="135">
        <f t="shared" si="6"/>
        <v>9.5999999999999992E-4</v>
      </c>
      <c r="F8" s="136" t="s">
        <v>29</v>
      </c>
      <c r="G8" s="137">
        <f t="shared" si="0"/>
        <v>0.48</v>
      </c>
      <c r="H8" s="138">
        <v>0</v>
      </c>
      <c r="I8" s="132">
        <f t="shared" si="7"/>
        <v>320</v>
      </c>
      <c r="J8" s="132">
        <f t="shared" si="8"/>
        <v>1280</v>
      </c>
      <c r="K8" s="135">
        <f t="shared" si="9"/>
        <v>9.5999999999999992E-4</v>
      </c>
      <c r="L8" s="139">
        <f t="shared" si="10"/>
        <v>10.88</v>
      </c>
      <c r="M8" s="140">
        <f t="shared" si="11"/>
        <v>0.31999999999999995</v>
      </c>
      <c r="N8" s="141">
        <f t="shared" si="1"/>
        <v>4.9479680000000004</v>
      </c>
      <c r="O8" s="142">
        <f t="shared" si="12"/>
        <v>1088</v>
      </c>
      <c r="P8" s="138">
        <v>0</v>
      </c>
      <c r="Q8" s="142">
        <f t="shared" si="2"/>
        <v>512</v>
      </c>
      <c r="R8" s="143">
        <f t="shared" si="13"/>
        <v>9.5999999999999992E-4</v>
      </c>
      <c r="S8" s="144">
        <f t="shared" si="14"/>
        <v>10.88</v>
      </c>
      <c r="T8" s="140">
        <f t="shared" ref="T8:T21" si="16">+T7</f>
        <v>0.32</v>
      </c>
      <c r="U8" s="145">
        <f t="shared" si="3"/>
        <v>4.633051428571429</v>
      </c>
    </row>
    <row r="9" spans="1:21" hidden="1" x14ac:dyDescent="0.2">
      <c r="A9" s="132">
        <v>100</v>
      </c>
      <c r="B9" s="133">
        <f t="shared" si="15"/>
        <v>17</v>
      </c>
      <c r="C9" s="134">
        <f t="shared" si="4"/>
        <v>1700</v>
      </c>
      <c r="D9" s="134">
        <f t="shared" si="5"/>
        <v>1700</v>
      </c>
      <c r="E9" s="135">
        <f t="shared" si="6"/>
        <v>1.0200000000000001E-3</v>
      </c>
      <c r="F9" s="136" t="s">
        <v>29</v>
      </c>
      <c r="G9" s="137">
        <f t="shared" si="0"/>
        <v>0.51</v>
      </c>
      <c r="H9" s="138">
        <v>0</v>
      </c>
      <c r="I9" s="132">
        <f t="shared" si="7"/>
        <v>340</v>
      </c>
      <c r="J9" s="132">
        <f t="shared" si="8"/>
        <v>1360</v>
      </c>
      <c r="K9" s="135">
        <f t="shared" si="9"/>
        <v>1.0199999999999999E-3</v>
      </c>
      <c r="L9" s="139">
        <f t="shared" si="10"/>
        <v>11.56</v>
      </c>
      <c r="M9" s="140">
        <f t="shared" si="11"/>
        <v>0.31999999999999995</v>
      </c>
      <c r="N9" s="141">
        <f t="shared" si="1"/>
        <v>5.2572160000000006</v>
      </c>
      <c r="O9" s="142">
        <f t="shared" si="12"/>
        <v>1156</v>
      </c>
      <c r="P9" s="138">
        <v>0</v>
      </c>
      <c r="Q9" s="142">
        <f t="shared" si="2"/>
        <v>544</v>
      </c>
      <c r="R9" s="143">
        <f t="shared" si="13"/>
        <v>1.0200000000000001E-3</v>
      </c>
      <c r="S9" s="144">
        <f t="shared" si="14"/>
        <v>11.56</v>
      </c>
      <c r="T9" s="140">
        <f t="shared" si="16"/>
        <v>0.32</v>
      </c>
      <c r="U9" s="145">
        <f t="shared" si="3"/>
        <v>4.9226171428571437</v>
      </c>
    </row>
    <row r="10" spans="1:21" hidden="1" x14ac:dyDescent="0.2">
      <c r="A10" s="132">
        <v>100</v>
      </c>
      <c r="B10" s="133">
        <f t="shared" si="15"/>
        <v>18</v>
      </c>
      <c r="C10" s="134">
        <f t="shared" si="4"/>
        <v>1800</v>
      </c>
      <c r="D10" s="134">
        <f t="shared" si="5"/>
        <v>1800</v>
      </c>
      <c r="E10" s="135">
        <f t="shared" si="6"/>
        <v>1.08E-3</v>
      </c>
      <c r="F10" s="136" t="s">
        <v>29</v>
      </c>
      <c r="G10" s="137">
        <f t="shared" si="0"/>
        <v>0.54</v>
      </c>
      <c r="H10" s="138">
        <v>0</v>
      </c>
      <c r="I10" s="132">
        <f t="shared" si="7"/>
        <v>360</v>
      </c>
      <c r="J10" s="132">
        <f t="shared" si="8"/>
        <v>1440</v>
      </c>
      <c r="K10" s="135">
        <f t="shared" si="9"/>
        <v>1.0799999999999998E-3</v>
      </c>
      <c r="L10" s="139">
        <f t="shared" si="10"/>
        <v>12.24</v>
      </c>
      <c r="M10" s="140">
        <f t="shared" si="11"/>
        <v>0.31999999999999995</v>
      </c>
      <c r="N10" s="141">
        <f t="shared" si="1"/>
        <v>5.5664640000000007</v>
      </c>
      <c r="O10" s="142">
        <f t="shared" si="12"/>
        <v>1224</v>
      </c>
      <c r="P10" s="138">
        <v>0</v>
      </c>
      <c r="Q10" s="142">
        <f t="shared" si="2"/>
        <v>576</v>
      </c>
      <c r="R10" s="143">
        <f t="shared" si="13"/>
        <v>1.08E-3</v>
      </c>
      <c r="S10" s="144">
        <f t="shared" si="14"/>
        <v>12.24</v>
      </c>
      <c r="T10" s="140">
        <f t="shared" si="16"/>
        <v>0.32</v>
      </c>
      <c r="U10" s="145">
        <f t="shared" si="3"/>
        <v>5.2121828571428583</v>
      </c>
    </row>
    <row r="11" spans="1:21" hidden="1" x14ac:dyDescent="0.2">
      <c r="A11" s="132">
        <v>100</v>
      </c>
      <c r="B11" s="133">
        <f t="shared" si="15"/>
        <v>19</v>
      </c>
      <c r="C11" s="134">
        <f t="shared" si="4"/>
        <v>1900</v>
      </c>
      <c r="D11" s="134">
        <f t="shared" si="5"/>
        <v>1900</v>
      </c>
      <c r="E11" s="135">
        <f t="shared" si="6"/>
        <v>1.14E-3</v>
      </c>
      <c r="F11" s="136" t="s">
        <v>29</v>
      </c>
      <c r="G11" s="137">
        <f t="shared" si="0"/>
        <v>0.56999999999999995</v>
      </c>
      <c r="H11" s="138">
        <v>0</v>
      </c>
      <c r="I11" s="132">
        <f t="shared" si="7"/>
        <v>380</v>
      </c>
      <c r="J11" s="132">
        <f t="shared" si="8"/>
        <v>1520</v>
      </c>
      <c r="K11" s="135">
        <f t="shared" si="9"/>
        <v>1.14E-3</v>
      </c>
      <c r="L11" s="139">
        <f t="shared" si="10"/>
        <v>12.92</v>
      </c>
      <c r="M11" s="140">
        <f t="shared" si="11"/>
        <v>0.31999999999999995</v>
      </c>
      <c r="N11" s="141">
        <f t="shared" si="1"/>
        <v>5.8757120000000009</v>
      </c>
      <c r="O11" s="142">
        <f t="shared" si="12"/>
        <v>1291.9999999999998</v>
      </c>
      <c r="P11" s="138">
        <v>0</v>
      </c>
      <c r="Q11" s="142">
        <f t="shared" si="2"/>
        <v>608.00000000000023</v>
      </c>
      <c r="R11" s="143">
        <f t="shared" si="13"/>
        <v>1.14E-3</v>
      </c>
      <c r="S11" s="144">
        <f t="shared" si="14"/>
        <v>12.919999999999998</v>
      </c>
      <c r="T11" s="140">
        <f t="shared" si="16"/>
        <v>0.32</v>
      </c>
      <c r="U11" s="145">
        <f t="shared" si="3"/>
        <v>5.5017485714285739</v>
      </c>
    </row>
    <row r="12" spans="1:21" hidden="1" x14ac:dyDescent="0.2">
      <c r="A12" s="132">
        <v>100</v>
      </c>
      <c r="B12" s="133">
        <f t="shared" si="15"/>
        <v>20</v>
      </c>
      <c r="C12" s="134">
        <f t="shared" si="4"/>
        <v>2000</v>
      </c>
      <c r="D12" s="134">
        <f t="shared" si="5"/>
        <v>2000</v>
      </c>
      <c r="E12" s="135">
        <f t="shared" si="6"/>
        <v>1.1999999999999999E-3</v>
      </c>
      <c r="F12" s="136" t="s">
        <v>29</v>
      </c>
      <c r="G12" s="137">
        <f t="shared" si="0"/>
        <v>0.6</v>
      </c>
      <c r="H12" s="138">
        <v>0</v>
      </c>
      <c r="I12" s="132">
        <f t="shared" si="7"/>
        <v>400</v>
      </c>
      <c r="J12" s="132">
        <f t="shared" si="8"/>
        <v>1600</v>
      </c>
      <c r="K12" s="135">
        <f t="shared" si="9"/>
        <v>1.1999999999999999E-3</v>
      </c>
      <c r="L12" s="139">
        <f t="shared" si="10"/>
        <v>13.6</v>
      </c>
      <c r="M12" s="140">
        <f t="shared" si="11"/>
        <v>0.31999999999999995</v>
      </c>
      <c r="N12" s="141">
        <f t="shared" si="1"/>
        <v>6.1849600000000002</v>
      </c>
      <c r="O12" s="142">
        <f t="shared" si="12"/>
        <v>1359.9999999999998</v>
      </c>
      <c r="P12" s="138">
        <v>0</v>
      </c>
      <c r="Q12" s="142">
        <f t="shared" si="2"/>
        <v>640.00000000000023</v>
      </c>
      <c r="R12" s="143">
        <f t="shared" si="13"/>
        <v>1.1999999999999999E-3</v>
      </c>
      <c r="S12" s="144">
        <f t="shared" si="14"/>
        <v>13.599999999999998</v>
      </c>
      <c r="T12" s="140">
        <f t="shared" si="16"/>
        <v>0.32</v>
      </c>
      <c r="U12" s="145">
        <f t="shared" si="3"/>
        <v>5.7913142857142885</v>
      </c>
    </row>
    <row r="13" spans="1:21" hidden="1" x14ac:dyDescent="0.2">
      <c r="A13" s="132">
        <v>100</v>
      </c>
      <c r="B13" s="133">
        <f t="shared" si="15"/>
        <v>21</v>
      </c>
      <c r="C13" s="134">
        <f t="shared" si="4"/>
        <v>2100</v>
      </c>
      <c r="D13" s="134">
        <f t="shared" si="5"/>
        <v>2100</v>
      </c>
      <c r="E13" s="135">
        <f t="shared" si="6"/>
        <v>1.2600000000000001E-3</v>
      </c>
      <c r="F13" s="136" t="s">
        <v>29</v>
      </c>
      <c r="G13" s="137">
        <f t="shared" si="0"/>
        <v>0.63</v>
      </c>
      <c r="H13" s="138">
        <v>0</v>
      </c>
      <c r="I13" s="132">
        <f t="shared" si="7"/>
        <v>420</v>
      </c>
      <c r="J13" s="132">
        <f t="shared" si="8"/>
        <v>1680</v>
      </c>
      <c r="K13" s="135">
        <f t="shared" si="9"/>
        <v>1.2600000000000001E-3</v>
      </c>
      <c r="L13" s="139">
        <f t="shared" si="10"/>
        <v>14.28</v>
      </c>
      <c r="M13" s="140">
        <f t="shared" si="11"/>
        <v>0.31999999999999995</v>
      </c>
      <c r="N13" s="141">
        <f t="shared" si="1"/>
        <v>6.4942080000000013</v>
      </c>
      <c r="O13" s="142">
        <f t="shared" si="12"/>
        <v>1427.9999999999998</v>
      </c>
      <c r="P13" s="138">
        <v>0</v>
      </c>
      <c r="Q13" s="142">
        <f t="shared" si="2"/>
        <v>672.00000000000023</v>
      </c>
      <c r="R13" s="143">
        <f t="shared" si="13"/>
        <v>1.2600000000000001E-3</v>
      </c>
      <c r="S13" s="144">
        <f t="shared" si="14"/>
        <v>14.279999999999998</v>
      </c>
      <c r="T13" s="140">
        <f t="shared" si="16"/>
        <v>0.32</v>
      </c>
      <c r="U13" s="145">
        <f t="shared" si="3"/>
        <v>6.0808800000000032</v>
      </c>
    </row>
    <row r="14" spans="1:21" hidden="1" x14ac:dyDescent="0.2">
      <c r="A14" s="132">
        <v>100</v>
      </c>
      <c r="B14" s="133">
        <f t="shared" si="15"/>
        <v>22</v>
      </c>
      <c r="C14" s="134">
        <f t="shared" si="4"/>
        <v>2200</v>
      </c>
      <c r="D14" s="134">
        <f t="shared" si="5"/>
        <v>2200</v>
      </c>
      <c r="E14" s="135">
        <f t="shared" si="6"/>
        <v>1.3200000000000002E-3</v>
      </c>
      <c r="F14" s="136" t="s">
        <v>29</v>
      </c>
      <c r="G14" s="137">
        <f t="shared" si="0"/>
        <v>0.66</v>
      </c>
      <c r="H14" s="138">
        <v>0</v>
      </c>
      <c r="I14" s="132">
        <f t="shared" si="7"/>
        <v>440</v>
      </c>
      <c r="J14" s="132">
        <f t="shared" si="8"/>
        <v>1760</v>
      </c>
      <c r="K14" s="135">
        <f t="shared" si="9"/>
        <v>1.32E-3</v>
      </c>
      <c r="L14" s="139">
        <f t="shared" si="10"/>
        <v>14.96</v>
      </c>
      <c r="M14" s="140">
        <f t="shared" si="11"/>
        <v>0.31999999999999995</v>
      </c>
      <c r="N14" s="141">
        <f t="shared" si="1"/>
        <v>6.8034559999999997</v>
      </c>
      <c r="O14" s="142">
        <f t="shared" si="12"/>
        <v>1495.9999999999998</v>
      </c>
      <c r="P14" s="138">
        <v>0</v>
      </c>
      <c r="Q14" s="142">
        <f t="shared" si="2"/>
        <v>704.00000000000023</v>
      </c>
      <c r="R14" s="143">
        <f t="shared" si="13"/>
        <v>1.3200000000000002E-3</v>
      </c>
      <c r="S14" s="144">
        <f t="shared" si="14"/>
        <v>14.959999999999997</v>
      </c>
      <c r="T14" s="140">
        <f t="shared" si="16"/>
        <v>0.32</v>
      </c>
      <c r="U14" s="145">
        <f t="shared" si="3"/>
        <v>6.3704457142857169</v>
      </c>
    </row>
    <row r="15" spans="1:21" hidden="1" x14ac:dyDescent="0.2">
      <c r="A15" s="132">
        <v>100</v>
      </c>
      <c r="B15" s="133">
        <f t="shared" si="15"/>
        <v>23</v>
      </c>
      <c r="C15" s="134">
        <f t="shared" si="4"/>
        <v>2300</v>
      </c>
      <c r="D15" s="134">
        <f t="shared" si="5"/>
        <v>2300</v>
      </c>
      <c r="E15" s="135">
        <f t="shared" si="6"/>
        <v>1.3800000000000002E-3</v>
      </c>
      <c r="F15" s="136" t="s">
        <v>29</v>
      </c>
      <c r="G15" s="137">
        <f t="shared" si="0"/>
        <v>0.69</v>
      </c>
      <c r="H15" s="138">
        <v>0</v>
      </c>
      <c r="I15" s="132">
        <f t="shared" si="7"/>
        <v>460</v>
      </c>
      <c r="J15" s="132">
        <f t="shared" si="8"/>
        <v>1840</v>
      </c>
      <c r="K15" s="135">
        <f t="shared" si="9"/>
        <v>1.3799999999999999E-3</v>
      </c>
      <c r="L15" s="139">
        <f t="shared" si="10"/>
        <v>15.64</v>
      </c>
      <c r="M15" s="140">
        <f t="shared" si="11"/>
        <v>0.31999999999999995</v>
      </c>
      <c r="N15" s="141">
        <f t="shared" si="1"/>
        <v>7.1127040000000008</v>
      </c>
      <c r="O15" s="142">
        <f t="shared" si="12"/>
        <v>1563.9999999999998</v>
      </c>
      <c r="P15" s="138">
        <v>0</v>
      </c>
      <c r="Q15" s="142">
        <f t="shared" si="2"/>
        <v>736.00000000000023</v>
      </c>
      <c r="R15" s="143">
        <f t="shared" si="13"/>
        <v>1.3800000000000002E-3</v>
      </c>
      <c r="S15" s="144">
        <f t="shared" si="14"/>
        <v>15.639999999999997</v>
      </c>
      <c r="T15" s="140">
        <f t="shared" si="16"/>
        <v>0.32</v>
      </c>
      <c r="U15" s="145">
        <f t="shared" si="3"/>
        <v>6.6600114285714316</v>
      </c>
    </row>
    <row r="16" spans="1:21" hidden="1" x14ac:dyDescent="0.2">
      <c r="A16" s="132">
        <v>100</v>
      </c>
      <c r="B16" s="133">
        <f t="shared" si="15"/>
        <v>24</v>
      </c>
      <c r="C16" s="134">
        <f t="shared" si="4"/>
        <v>2400</v>
      </c>
      <c r="D16" s="134">
        <f t="shared" si="5"/>
        <v>2400</v>
      </c>
      <c r="E16" s="135">
        <f t="shared" si="6"/>
        <v>1.4400000000000001E-3</v>
      </c>
      <c r="F16" s="136" t="s">
        <v>29</v>
      </c>
      <c r="G16" s="137">
        <f t="shared" si="0"/>
        <v>0.72</v>
      </c>
      <c r="H16" s="138">
        <v>0</v>
      </c>
      <c r="I16" s="132">
        <f t="shared" si="7"/>
        <v>480</v>
      </c>
      <c r="J16" s="132">
        <f t="shared" si="8"/>
        <v>1920</v>
      </c>
      <c r="K16" s="135">
        <f t="shared" si="9"/>
        <v>1.4399999999999999E-3</v>
      </c>
      <c r="L16" s="139">
        <f t="shared" si="10"/>
        <v>16.32</v>
      </c>
      <c r="M16" s="140">
        <f t="shared" si="11"/>
        <v>0.31999999999999995</v>
      </c>
      <c r="N16" s="141">
        <f t="shared" si="1"/>
        <v>7.4219520000000001</v>
      </c>
      <c r="O16" s="142">
        <f t="shared" si="12"/>
        <v>1631.9999999999998</v>
      </c>
      <c r="P16" s="138">
        <v>0</v>
      </c>
      <c r="Q16" s="142">
        <f t="shared" si="2"/>
        <v>768.00000000000023</v>
      </c>
      <c r="R16" s="143">
        <f t="shared" si="13"/>
        <v>1.4400000000000001E-3</v>
      </c>
      <c r="S16" s="144">
        <f t="shared" si="14"/>
        <v>16.319999999999997</v>
      </c>
      <c r="T16" s="140">
        <f t="shared" si="16"/>
        <v>0.32</v>
      </c>
      <c r="U16" s="145">
        <f t="shared" si="3"/>
        <v>6.9495771428571462</v>
      </c>
    </row>
    <row r="17" spans="1:21" hidden="1" x14ac:dyDescent="0.2">
      <c r="A17" s="132">
        <v>100</v>
      </c>
      <c r="B17" s="133">
        <f t="shared" si="15"/>
        <v>25</v>
      </c>
      <c r="C17" s="134">
        <f t="shared" si="4"/>
        <v>2500</v>
      </c>
      <c r="D17" s="134">
        <f t="shared" si="5"/>
        <v>2500</v>
      </c>
      <c r="E17" s="135">
        <f t="shared" si="6"/>
        <v>1.5E-3</v>
      </c>
      <c r="F17" s="136" t="s">
        <v>29</v>
      </c>
      <c r="G17" s="137">
        <f t="shared" si="0"/>
        <v>0.75</v>
      </c>
      <c r="H17" s="138">
        <v>0</v>
      </c>
      <c r="I17" s="132">
        <f t="shared" si="7"/>
        <v>500</v>
      </c>
      <c r="J17" s="132">
        <f t="shared" si="8"/>
        <v>2000</v>
      </c>
      <c r="K17" s="135">
        <f t="shared" si="9"/>
        <v>1.5E-3</v>
      </c>
      <c r="L17" s="139">
        <f t="shared" si="10"/>
        <v>17</v>
      </c>
      <c r="M17" s="140">
        <f t="shared" si="11"/>
        <v>0.31999999999999995</v>
      </c>
      <c r="N17" s="141">
        <f t="shared" si="1"/>
        <v>7.7312000000000012</v>
      </c>
      <c r="O17" s="142">
        <f t="shared" si="12"/>
        <v>1699.9999999999998</v>
      </c>
      <c r="P17" s="138">
        <v>0</v>
      </c>
      <c r="Q17" s="142">
        <f t="shared" si="2"/>
        <v>800.00000000000023</v>
      </c>
      <c r="R17" s="143">
        <f t="shared" si="13"/>
        <v>1.5E-3</v>
      </c>
      <c r="S17" s="144">
        <f t="shared" si="14"/>
        <v>16.999999999999996</v>
      </c>
      <c r="T17" s="140">
        <f t="shared" si="16"/>
        <v>0.32</v>
      </c>
      <c r="U17" s="145">
        <f t="shared" si="3"/>
        <v>7.23914285714286</v>
      </c>
    </row>
    <row r="18" spans="1:21" hidden="1" x14ac:dyDescent="0.2">
      <c r="A18" s="132">
        <v>100</v>
      </c>
      <c r="B18" s="133">
        <f t="shared" si="15"/>
        <v>26</v>
      </c>
      <c r="C18" s="134">
        <f t="shared" si="4"/>
        <v>2600</v>
      </c>
      <c r="D18" s="134">
        <f t="shared" si="5"/>
        <v>2600</v>
      </c>
      <c r="E18" s="135">
        <f t="shared" si="6"/>
        <v>1.56E-3</v>
      </c>
      <c r="F18" s="136" t="s">
        <v>29</v>
      </c>
      <c r="G18" s="137">
        <f t="shared" si="0"/>
        <v>0.78</v>
      </c>
      <c r="H18" s="138">
        <v>0</v>
      </c>
      <c r="I18" s="132">
        <f t="shared" si="7"/>
        <v>520</v>
      </c>
      <c r="J18" s="132">
        <f t="shared" si="8"/>
        <v>2080</v>
      </c>
      <c r="K18" s="135">
        <f t="shared" si="9"/>
        <v>1.56E-3</v>
      </c>
      <c r="L18" s="139">
        <f t="shared" si="10"/>
        <v>17.68</v>
      </c>
      <c r="M18" s="140">
        <f t="shared" si="11"/>
        <v>0.31999999999999995</v>
      </c>
      <c r="N18" s="141">
        <f t="shared" si="1"/>
        <v>8.0404479999999996</v>
      </c>
      <c r="O18" s="142">
        <f t="shared" si="12"/>
        <v>1767.9999999999998</v>
      </c>
      <c r="P18" s="138">
        <v>0</v>
      </c>
      <c r="Q18" s="142">
        <f t="shared" si="2"/>
        <v>832.00000000000023</v>
      </c>
      <c r="R18" s="143">
        <f t="shared" si="13"/>
        <v>1.56E-3</v>
      </c>
      <c r="S18" s="144">
        <f t="shared" si="14"/>
        <v>17.679999999999996</v>
      </c>
      <c r="T18" s="140">
        <f t="shared" si="16"/>
        <v>0.32</v>
      </c>
      <c r="U18" s="145">
        <f t="shared" si="3"/>
        <v>7.5287085714285746</v>
      </c>
    </row>
    <row r="19" spans="1:21" hidden="1" x14ac:dyDescent="0.2">
      <c r="A19" s="132">
        <v>100</v>
      </c>
      <c r="B19" s="133">
        <f t="shared" si="15"/>
        <v>27</v>
      </c>
      <c r="C19" s="134">
        <f t="shared" si="4"/>
        <v>2700</v>
      </c>
      <c r="D19" s="134">
        <f t="shared" si="5"/>
        <v>2700</v>
      </c>
      <c r="E19" s="135">
        <f t="shared" si="6"/>
        <v>1.6199999999999999E-3</v>
      </c>
      <c r="F19" s="136" t="s">
        <v>29</v>
      </c>
      <c r="G19" s="137">
        <f t="shared" si="0"/>
        <v>0.81</v>
      </c>
      <c r="H19" s="138">
        <v>0</v>
      </c>
      <c r="I19" s="132">
        <f t="shared" si="7"/>
        <v>540</v>
      </c>
      <c r="J19" s="132">
        <f t="shared" si="8"/>
        <v>2160</v>
      </c>
      <c r="K19" s="135">
        <f t="shared" si="9"/>
        <v>1.6199999999999999E-3</v>
      </c>
      <c r="L19" s="139">
        <f t="shared" si="10"/>
        <v>18.36</v>
      </c>
      <c r="M19" s="140">
        <f t="shared" si="11"/>
        <v>0.31999999999999995</v>
      </c>
      <c r="N19" s="141">
        <f t="shared" si="1"/>
        <v>8.3496959999999998</v>
      </c>
      <c r="O19" s="142">
        <f t="shared" si="12"/>
        <v>1835.9999999999998</v>
      </c>
      <c r="P19" s="138">
        <v>0</v>
      </c>
      <c r="Q19" s="142">
        <f t="shared" si="2"/>
        <v>864.00000000000023</v>
      </c>
      <c r="R19" s="143">
        <f t="shared" si="13"/>
        <v>1.6199999999999999E-3</v>
      </c>
      <c r="S19" s="144">
        <f t="shared" si="14"/>
        <v>18.36</v>
      </c>
      <c r="T19" s="140">
        <f t="shared" si="16"/>
        <v>0.32</v>
      </c>
      <c r="U19" s="145">
        <f t="shared" si="3"/>
        <v>7.8182742857142884</v>
      </c>
    </row>
    <row r="20" spans="1:21" hidden="1" x14ac:dyDescent="0.2">
      <c r="A20" s="132">
        <v>100</v>
      </c>
      <c r="B20" s="133">
        <f t="shared" si="15"/>
        <v>28</v>
      </c>
      <c r="C20" s="134">
        <f t="shared" si="4"/>
        <v>2800</v>
      </c>
      <c r="D20" s="134">
        <f t="shared" si="5"/>
        <v>2800</v>
      </c>
      <c r="E20" s="135">
        <f t="shared" si="6"/>
        <v>1.6800000000000001E-3</v>
      </c>
      <c r="F20" s="136" t="s">
        <v>29</v>
      </c>
      <c r="G20" s="137">
        <f t="shared" si="0"/>
        <v>0.84</v>
      </c>
      <c r="H20" s="138">
        <v>0</v>
      </c>
      <c r="I20" s="132">
        <f t="shared" si="7"/>
        <v>560</v>
      </c>
      <c r="J20" s="132">
        <f t="shared" si="8"/>
        <v>2240</v>
      </c>
      <c r="K20" s="135">
        <f t="shared" si="9"/>
        <v>1.6800000000000001E-3</v>
      </c>
      <c r="L20" s="139">
        <f t="shared" si="10"/>
        <v>19.04</v>
      </c>
      <c r="M20" s="140">
        <f t="shared" si="11"/>
        <v>0.31999999999999995</v>
      </c>
      <c r="N20" s="141">
        <f t="shared" si="1"/>
        <v>8.658944</v>
      </c>
      <c r="O20" s="142">
        <f t="shared" si="12"/>
        <v>1903.9999999999998</v>
      </c>
      <c r="P20" s="138">
        <v>0</v>
      </c>
      <c r="Q20" s="142">
        <f t="shared" si="2"/>
        <v>896.00000000000023</v>
      </c>
      <c r="R20" s="143">
        <f t="shared" si="13"/>
        <v>1.6800000000000001E-3</v>
      </c>
      <c r="S20" s="144">
        <f t="shared" si="14"/>
        <v>19.04</v>
      </c>
      <c r="T20" s="140">
        <f t="shared" si="16"/>
        <v>0.32</v>
      </c>
      <c r="U20" s="145">
        <f t="shared" si="3"/>
        <v>8.107840000000003</v>
      </c>
    </row>
    <row r="21" spans="1:21" hidden="1" x14ac:dyDescent="0.2">
      <c r="A21" s="132">
        <v>100</v>
      </c>
      <c r="B21" s="133">
        <f t="shared" si="15"/>
        <v>29</v>
      </c>
      <c r="C21" s="134">
        <f t="shared" si="4"/>
        <v>2900</v>
      </c>
      <c r="D21" s="134">
        <f t="shared" si="5"/>
        <v>2900</v>
      </c>
      <c r="E21" s="135">
        <f t="shared" si="6"/>
        <v>1.7400000000000002E-3</v>
      </c>
      <c r="F21" s="136" t="s">
        <v>29</v>
      </c>
      <c r="G21" s="137">
        <f t="shared" si="0"/>
        <v>0.87</v>
      </c>
      <c r="H21" s="138">
        <v>0</v>
      </c>
      <c r="I21" s="132">
        <f t="shared" si="7"/>
        <v>580</v>
      </c>
      <c r="J21" s="132">
        <f t="shared" si="8"/>
        <v>2320</v>
      </c>
      <c r="K21" s="135">
        <f t="shared" si="9"/>
        <v>1.7399999999999998E-3</v>
      </c>
      <c r="L21" s="139">
        <f t="shared" si="10"/>
        <v>19.72</v>
      </c>
      <c r="M21" s="140">
        <f t="shared" si="11"/>
        <v>0.31999999999999995</v>
      </c>
      <c r="N21" s="141">
        <f t="shared" si="1"/>
        <v>8.9681920000000002</v>
      </c>
      <c r="O21" s="142">
        <f t="shared" si="12"/>
        <v>1971.9999999999998</v>
      </c>
      <c r="P21" s="138">
        <v>0</v>
      </c>
      <c r="Q21" s="142">
        <f t="shared" si="2"/>
        <v>928.00000000000023</v>
      </c>
      <c r="R21" s="143">
        <f t="shared" si="13"/>
        <v>1.7400000000000002E-3</v>
      </c>
      <c r="S21" s="144">
        <f t="shared" si="14"/>
        <v>19.72</v>
      </c>
      <c r="T21" s="140">
        <f t="shared" si="16"/>
        <v>0.32</v>
      </c>
      <c r="U21" s="145">
        <f t="shared" si="3"/>
        <v>8.3974057142857177</v>
      </c>
    </row>
    <row r="22" spans="1:21" hidden="1" x14ac:dyDescent="0.2">
      <c r="F22" s="146"/>
      <c r="U22" s="141"/>
    </row>
    <row r="23" spans="1:21" hidden="1" x14ac:dyDescent="0.2">
      <c r="G23" s="147" t="s">
        <v>34</v>
      </c>
      <c r="H23" s="147"/>
      <c r="I23" s="147"/>
      <c r="J23" s="147"/>
    </row>
    <row r="24" spans="1:21" hidden="1" x14ac:dyDescent="0.2">
      <c r="C24" s="148" t="s">
        <v>21</v>
      </c>
      <c r="D24" s="149" t="s">
        <v>11</v>
      </c>
      <c r="E24" s="149" t="s">
        <v>17</v>
      </c>
      <c r="G24" s="126" t="s">
        <v>15</v>
      </c>
      <c r="H24" s="150">
        <v>5.25</v>
      </c>
      <c r="I24" s="126" t="s">
        <v>22</v>
      </c>
      <c r="T24" s="145"/>
    </row>
    <row r="25" spans="1:21" hidden="1" x14ac:dyDescent="0.2">
      <c r="A25" s="126" t="s">
        <v>12</v>
      </c>
      <c r="C25" s="141">
        <f>7.5/25</f>
        <v>0.3</v>
      </c>
      <c r="D25" s="151">
        <f>5.5/25</f>
        <v>0.22</v>
      </c>
      <c r="E25" s="152">
        <f t="shared" ref="E25:E30" si="17">(C25-D25)/C25</f>
        <v>0.26666666666666666</v>
      </c>
      <c r="G25" s="141">
        <f>5*H24</f>
        <v>26.25</v>
      </c>
      <c r="H25" s="126" t="s">
        <v>10</v>
      </c>
      <c r="I25" s="126" t="s">
        <v>13</v>
      </c>
      <c r="J25" s="126" t="s">
        <v>20</v>
      </c>
      <c r="L25" s="145">
        <f>H24*25</f>
        <v>131.25</v>
      </c>
    </row>
    <row r="26" spans="1:21" hidden="1" x14ac:dyDescent="0.2">
      <c r="A26" s="126" t="s">
        <v>26</v>
      </c>
      <c r="C26" s="141">
        <v>0.34</v>
      </c>
      <c r="D26" s="151">
        <v>0.25</v>
      </c>
      <c r="E26" s="152">
        <f t="shared" si="17"/>
        <v>0.26470588235294124</v>
      </c>
      <c r="G26" s="141">
        <f>I26+J26</f>
        <v>1.19</v>
      </c>
      <c r="H26" s="126" t="s">
        <v>19</v>
      </c>
      <c r="I26" s="126">
        <v>0.95</v>
      </c>
      <c r="J26" s="126">
        <v>0.24</v>
      </c>
      <c r="K26" s="145">
        <f>L26/5</f>
        <v>35.799999999999997</v>
      </c>
      <c r="L26" s="145">
        <v>179</v>
      </c>
      <c r="M26" s="145">
        <f>L26-L25</f>
        <v>47.75</v>
      </c>
    </row>
    <row r="27" spans="1:21" hidden="1" x14ac:dyDescent="0.2">
      <c r="A27" s="126" t="s">
        <v>7</v>
      </c>
      <c r="C27" s="141">
        <f>8.56/25</f>
        <v>0.34240000000000004</v>
      </c>
      <c r="D27" s="151">
        <v>0.28000000000000003</v>
      </c>
      <c r="E27" s="152">
        <f t="shared" si="17"/>
        <v>0.18224299065420563</v>
      </c>
      <c r="G27" s="141">
        <v>2</v>
      </c>
      <c r="H27" s="126" t="s">
        <v>14</v>
      </c>
      <c r="K27" s="145">
        <f>+G30</f>
        <v>42.057142857142864</v>
      </c>
      <c r="M27" s="153">
        <f>M26/L26</f>
        <v>0.26675977653631283</v>
      </c>
      <c r="N27" s="154"/>
      <c r="O27" s="145"/>
      <c r="P27" s="145"/>
    </row>
    <row r="28" spans="1:21" hidden="1" x14ac:dyDescent="0.2">
      <c r="A28" s="126" t="s">
        <v>8</v>
      </c>
      <c r="C28" s="141">
        <f>56.7/15</f>
        <v>3.7800000000000002</v>
      </c>
      <c r="D28" s="151">
        <f>56.25/15</f>
        <v>3.75</v>
      </c>
      <c r="E28" s="152">
        <f t="shared" si="17"/>
        <v>7.936507936508002E-3</v>
      </c>
      <c r="G28" s="141">
        <f>SUM(G25:G27)</f>
        <v>29.44</v>
      </c>
      <c r="H28" s="126" t="s">
        <v>16</v>
      </c>
      <c r="K28" s="145">
        <f>K27-K26</f>
        <v>6.2571428571428669</v>
      </c>
      <c r="M28" s="145"/>
      <c r="N28" s="154"/>
      <c r="O28" s="145"/>
      <c r="P28" s="145"/>
    </row>
    <row r="29" spans="1:21" hidden="1" x14ac:dyDescent="0.2">
      <c r="A29" s="126" t="s">
        <v>52</v>
      </c>
      <c r="C29" s="141">
        <f>G30/5</f>
        <v>8.4114285714285728</v>
      </c>
      <c r="D29" s="151">
        <f>G28/5</f>
        <v>5.8879999999999999</v>
      </c>
      <c r="E29" s="152">
        <f t="shared" si="17"/>
        <v>0.3000000000000001</v>
      </c>
      <c r="G29" s="140">
        <v>0.3</v>
      </c>
      <c r="H29" s="126" t="s">
        <v>17</v>
      </c>
      <c r="I29" s="155">
        <f>(G30-G28)/G30</f>
        <v>0.3000000000000001</v>
      </c>
      <c r="K29" s="126">
        <f>K28/K27</f>
        <v>0.14877717391304368</v>
      </c>
      <c r="M29" s="145"/>
      <c r="N29" s="154"/>
      <c r="O29" s="145"/>
      <c r="P29" s="145"/>
    </row>
    <row r="30" spans="1:21" hidden="1" x14ac:dyDescent="0.2">
      <c r="A30" s="126" t="s">
        <v>100</v>
      </c>
      <c r="C30" s="145">
        <f>G39/5</f>
        <v>6.9363000000000001</v>
      </c>
      <c r="D30" s="145">
        <f>G37/5</f>
        <v>5.1379999999999999</v>
      </c>
      <c r="E30" s="152">
        <f t="shared" si="17"/>
        <v>0.2592592592592593</v>
      </c>
      <c r="F30" s="145"/>
      <c r="G30" s="141">
        <f>G28/(1-G29)</f>
        <v>42.057142857142864</v>
      </c>
      <c r="H30" s="126" t="s">
        <v>18</v>
      </c>
      <c r="M30" s="145"/>
      <c r="N30" s="154"/>
      <c r="O30" s="145"/>
      <c r="P30" s="145"/>
    </row>
    <row r="31" spans="1:21" hidden="1" x14ac:dyDescent="0.2">
      <c r="A31" s="126" t="s">
        <v>33</v>
      </c>
      <c r="C31" s="145">
        <f>G40/25</f>
        <v>0.34</v>
      </c>
      <c r="F31" s="145"/>
      <c r="G31" s="126">
        <v>43.5</v>
      </c>
      <c r="M31" s="145">
        <v>43.5</v>
      </c>
      <c r="N31" s="154"/>
      <c r="O31" s="145"/>
      <c r="P31" s="145"/>
    </row>
    <row r="32" spans="1:21" hidden="1" x14ac:dyDescent="0.2">
      <c r="C32" s="145"/>
      <c r="F32" s="145"/>
      <c r="G32" s="147" t="s">
        <v>33</v>
      </c>
      <c r="H32" s="147"/>
      <c r="I32" s="147"/>
      <c r="J32" s="147"/>
      <c r="M32" s="145">
        <v>179</v>
      </c>
      <c r="N32" s="154"/>
      <c r="O32" s="145"/>
      <c r="P32" s="145"/>
    </row>
    <row r="33" spans="1:16" hidden="1" x14ac:dyDescent="0.2">
      <c r="F33" s="156"/>
      <c r="G33" s="126" t="s">
        <v>15</v>
      </c>
      <c r="H33" s="150">
        <v>4.5</v>
      </c>
      <c r="I33" s="126" t="s">
        <v>22</v>
      </c>
      <c r="M33" s="145">
        <f>M32/M31</f>
        <v>4.1149425287356323</v>
      </c>
      <c r="N33" s="154"/>
      <c r="O33" s="145"/>
      <c r="P33" s="145"/>
    </row>
    <row r="34" spans="1:16" hidden="1" x14ac:dyDescent="0.2">
      <c r="C34" s="145">
        <f>C29*5</f>
        <v>42.057142857142864</v>
      </c>
      <c r="G34" s="141">
        <f>5*H33</f>
        <v>22.5</v>
      </c>
      <c r="H34" s="126" t="s">
        <v>10</v>
      </c>
      <c r="I34" s="126" t="s">
        <v>13</v>
      </c>
      <c r="J34" s="126" t="s">
        <v>20</v>
      </c>
      <c r="M34" s="145">
        <f>M33*6.94*5</f>
        <v>142.78850574712644</v>
      </c>
      <c r="N34" s="154"/>
      <c r="O34" s="145"/>
      <c r="P34" s="145"/>
    </row>
    <row r="35" spans="1:16" hidden="1" x14ac:dyDescent="0.2">
      <c r="A35" s="126" t="s">
        <v>70</v>
      </c>
      <c r="C35" s="145">
        <f>C30*5</f>
        <v>34.6815</v>
      </c>
      <c r="D35" s="126">
        <v>3</v>
      </c>
      <c r="E35" s="126">
        <f>3.73*0.8</f>
        <v>2.984</v>
      </c>
      <c r="G35" s="141">
        <f>I35+J35</f>
        <v>1.19</v>
      </c>
      <c r="H35" s="126" t="s">
        <v>19</v>
      </c>
      <c r="I35" s="126">
        <v>0.95</v>
      </c>
      <c r="J35" s="126">
        <v>0.24</v>
      </c>
      <c r="M35" s="145"/>
      <c r="N35" s="154"/>
      <c r="O35" s="145"/>
      <c r="P35" s="145"/>
    </row>
    <row r="36" spans="1:16" hidden="1" x14ac:dyDescent="0.2">
      <c r="A36" s="126" t="s">
        <v>9</v>
      </c>
      <c r="D36" s="126">
        <v>0.2</v>
      </c>
      <c r="E36" s="126">
        <f>0.3*0.2</f>
        <v>0.06</v>
      </c>
      <c r="G36" s="141">
        <v>2</v>
      </c>
      <c r="H36" s="126" t="s">
        <v>14</v>
      </c>
      <c r="M36" s="145"/>
      <c r="N36" s="154"/>
      <c r="O36" s="145"/>
      <c r="P36" s="145"/>
    </row>
    <row r="37" spans="1:16" hidden="1" x14ac:dyDescent="0.2">
      <c r="D37" s="126">
        <v>2.2999999999999998</v>
      </c>
      <c r="E37" s="126">
        <f>SUM(E35:E36)</f>
        <v>3.044</v>
      </c>
      <c r="G37" s="141">
        <f>SUM(G34:G36)</f>
        <v>25.69</v>
      </c>
      <c r="H37" s="126" t="s">
        <v>16</v>
      </c>
      <c r="M37" s="145"/>
      <c r="N37" s="154"/>
      <c r="O37" s="145"/>
      <c r="P37" s="145"/>
    </row>
    <row r="38" spans="1:16" hidden="1" x14ac:dyDescent="0.2">
      <c r="G38" s="140">
        <v>0.35</v>
      </c>
      <c r="H38" s="126" t="s">
        <v>17</v>
      </c>
    </row>
    <row r="39" spans="1:16" hidden="1" x14ac:dyDescent="0.2">
      <c r="G39" s="141">
        <f>G37+(G37*G38)</f>
        <v>34.6815</v>
      </c>
      <c r="H39" s="126" t="s">
        <v>18</v>
      </c>
      <c r="K39" s="126">
        <f>25*4.5</f>
        <v>112.5</v>
      </c>
    </row>
    <row r="40" spans="1:16" hidden="1" x14ac:dyDescent="0.2">
      <c r="G40" s="126">
        <v>8.5</v>
      </c>
    </row>
    <row r="41" spans="1:16" hidden="1" x14ac:dyDescent="0.2">
      <c r="A41" s="148" t="s">
        <v>69</v>
      </c>
    </row>
    <row r="42" spans="1:16" hidden="1" x14ac:dyDescent="0.2">
      <c r="A42" s="157" t="s">
        <v>48</v>
      </c>
    </row>
    <row r="43" spans="1:16" hidden="1" x14ac:dyDescent="0.2">
      <c r="A43" s="157" t="s">
        <v>71</v>
      </c>
    </row>
    <row r="44" spans="1:16" hidden="1" x14ac:dyDescent="0.2">
      <c r="A44" s="157" t="s">
        <v>49</v>
      </c>
    </row>
    <row r="45" spans="1:16" hidden="1" x14ac:dyDescent="0.2">
      <c r="A45" s="157" t="s">
        <v>33</v>
      </c>
    </row>
    <row r="46" spans="1:16" hidden="1" x14ac:dyDescent="0.2">
      <c r="A46" s="157" t="s">
        <v>100</v>
      </c>
    </row>
    <row r="47" spans="1:16" hidden="1" x14ac:dyDescent="0.2">
      <c r="A47" s="157" t="s">
        <v>52</v>
      </c>
    </row>
    <row r="48" spans="1:16" hidden="1" x14ac:dyDescent="0.2">
      <c r="A48" s="126" t="s">
        <v>72</v>
      </c>
    </row>
    <row r="49" spans="4:6" hidden="1" x14ac:dyDescent="0.2"/>
    <row r="50" spans="4:6" hidden="1" x14ac:dyDescent="0.2"/>
    <row r="51" spans="4:6" hidden="1" x14ac:dyDescent="0.2"/>
    <row r="52" spans="4:6" hidden="1" x14ac:dyDescent="0.2"/>
    <row r="53" spans="4:6" hidden="1" x14ac:dyDescent="0.2"/>
    <row r="54" spans="4:6" hidden="1" x14ac:dyDescent="0.2"/>
    <row r="55" spans="4:6" hidden="1" x14ac:dyDescent="0.2"/>
    <row r="56" spans="4:6" hidden="1" x14ac:dyDescent="0.2"/>
    <row r="57" spans="4:6" hidden="1" x14ac:dyDescent="0.2">
      <c r="F57" s="126">
        <v>5.25</v>
      </c>
    </row>
    <row r="58" spans="4:6" hidden="1" x14ac:dyDescent="0.2">
      <c r="F58" s="126">
        <f>F57/1.06</f>
        <v>4.9528301886792452</v>
      </c>
    </row>
    <row r="59" spans="4:6" hidden="1" x14ac:dyDescent="0.2">
      <c r="E59" s="158"/>
    </row>
    <row r="60" spans="4:6" hidden="1" x14ac:dyDescent="0.2">
      <c r="D60" s="126" t="s">
        <v>46</v>
      </c>
      <c r="E60" s="141">
        <f>F58*0.42</f>
        <v>2.0801886792452828</v>
      </c>
    </row>
    <row r="61" spans="4:6" hidden="1" x14ac:dyDescent="0.2">
      <c r="D61" s="159" t="s">
        <v>45</v>
      </c>
      <c r="E61" s="160">
        <f>0.42/100</f>
        <v>4.1999999999999997E-3</v>
      </c>
      <c r="F61" s="161">
        <f>E61/E60</f>
        <v>2.0190476190476191E-3</v>
      </c>
    </row>
    <row r="62" spans="4:6" hidden="1" x14ac:dyDescent="0.2">
      <c r="D62" s="126" t="s">
        <v>47</v>
      </c>
      <c r="E62" s="160">
        <f>4.33/100</f>
        <v>4.3299999999999998E-2</v>
      </c>
      <c r="F62" s="161">
        <f>E62/E60</f>
        <v>2.0815419501133789E-2</v>
      </c>
    </row>
  </sheetData>
  <sheetProtection password="DA2D" sheet="1" objects="1" scenarios="1"/>
  <mergeCells count="10">
    <mergeCell ref="G23:J23"/>
    <mergeCell ref="G32:J32"/>
    <mergeCell ref="H3:J3"/>
    <mergeCell ref="O3:Q3"/>
    <mergeCell ref="D2:G2"/>
    <mergeCell ref="H2:N2"/>
    <mergeCell ref="O2:U2"/>
    <mergeCell ref="R3:U3"/>
    <mergeCell ref="K3:N3"/>
    <mergeCell ref="E3:G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keuzesheet</vt:lpstr>
      <vt:lpstr>parameters</vt:lpstr>
      <vt:lpstr>keuzesheet!Afdrukbereik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F.O. de Leede | Delmo Groep</dc:creator>
  <cp:lastModifiedBy>F.O. de Leede | Delmo Groep</cp:lastModifiedBy>
  <cp:lastPrinted>2016-06-07T09:46:02Z</cp:lastPrinted>
  <dcterms:created xsi:type="dcterms:W3CDTF">2016-05-25T06:30:43Z</dcterms:created>
  <dcterms:modified xsi:type="dcterms:W3CDTF">2016-10-25T07:56:35Z</dcterms:modified>
</cp:coreProperties>
</file>